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-2" sheetId="6" r:id="rId6"/>
    <sheet name="січень" sheetId="7" r:id="rId7"/>
  </sheets>
  <definedNames>
    <definedName name="_xlnm.Print_Area" localSheetId="6">'січень'!$A$1:$R$87</definedName>
  </definedNames>
  <calcPr fullCalcOnLoad="1"/>
</workbook>
</file>

<file path=xl/sharedStrings.xml><?xml version="1.0" encoding="utf-8"?>
<sst xmlns="http://schemas.openxmlformats.org/spreadsheetml/2006/main" count="891" uniqueCount="178">
  <si>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</si>
  <si>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</si>
  <si>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</si>
  <si>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</si>
  <si>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</si>
  <si>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</si>
  <si>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</si>
  <si>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</si>
  <si>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</si>
  <si>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</si>
  <si>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</si>
  <si>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</si>
  <si>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</si>
  <si>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</si>
  <si>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</si>
  <si>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</si>
  <si>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</si>
  <si>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</si>
  <si>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</si>
  <si>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</si>
  <si>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</si>
  <si>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</si>
  <si>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</si>
  <si>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</si>
  <si>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</si>
  <si>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</si>
  <si>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</si>
  <si>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</si>
  <si>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</si>
  <si>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</si>
  <si>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</si>
  <si>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</si>
  <si>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</si>
  <si>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</si>
  <si>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</si>
  <si>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</si>
  <si>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</si>
  <si>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</si>
  <si>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</si>
  <si>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</si>
  <si>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</si>
  <si>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</si>
  <si>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</si>
  <si>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</si>
  <si>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</si>
  <si>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</si>
  <si>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</si>
  <si>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</si>
  <si>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</si>
  <si>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</si>
  <si>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</si>
  <si>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</si>
  <si>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</si>
  <si>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</si>
  <si>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</si>
  <si>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</si>
  <si>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</si>
  <si>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</si>
  <si>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</si>
  <si>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</si>
  <si>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</si>
  <si>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</si>
  <si>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</si>
  <si>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</si>
  <si>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</si>
  <si>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</si>
  <si>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</si>
  <si>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</si>
  <si>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</si>
  <si>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</si>
  <si>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</si>
  <si>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</si>
  <si>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</si>
  <si>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</si>
  <si>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</si>
  <si>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</si>
  <si>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</si>
  <si>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</si>
  <si>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</si>
  <si>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</si>
  <si>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</si>
  <si>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</si>
  <si>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</si>
  <si>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</si>
  <si>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</si>
  <si>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</si>
  <si>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</si>
  <si>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</si>
  <si>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</si>
  <si>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</si>
  <si>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</si>
  <si>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</si>
  <si>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</si>
  <si>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</si>
  <si>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</si>
  <si>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</si>
  <si>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</si>
  <si>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</si>
  <si>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</si>
  <si>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</si>
  <si>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</si>
  <si>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</si>
  <si>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</si>
  <si>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</si>
  <si>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</si>
  <si>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</si>
  <si>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</si>
  <si>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</si>
  <si>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</si>
  <si>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</si>
  <si>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</si>
  <si>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</si>
  <si>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</si>
  <si>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</si>
  <si>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</si>
  <si>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</si>
  <si>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</si>
  <si>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</si>
  <si>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</si>
  <si>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</si>
  <si>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</si>
  <si>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</si>
  <si>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</si>
  <si>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</si>
  <si>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</si>
  <si>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</si>
  <si>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</si>
  <si>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</si>
  <si>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</si>
  <si>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</si>
  <si>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</si>
  <si>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</si>
  <si>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</si>
  <si>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</si>
  <si>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</si>
  <si>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</si>
  <si>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</si>
  <si>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</si>
  <si>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</si>
  <si>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</si>
  <si>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</si>
  <si>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</si>
  <si>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</si>
  <si>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</si>
  <si>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</si>
  <si>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</si>
  <si>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</si>
  <si>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</si>
  <si>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</si>
  <si>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</si>
  <si>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</si>
  <si>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</si>
  <si>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</si>
  <si>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</si>
  <si>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</si>
  <si>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</si>
  <si>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</si>
  <si>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</si>
  <si>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</si>
  <si>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</si>
  <si>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</si>
  <si>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</si>
  <si>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</si>
  <si>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</si>
  <si>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</si>
  <si>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</si>
  <si>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</si>
  <si>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</si>
  <si>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</si>
  <si>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</si>
  <si>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</si>
  <si>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</si>
  <si>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</si>
  <si>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</si>
  <si>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</si>
  <si>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</si>
  <si>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06.06.2016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</si>
  <si>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03.06.16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</si>
</sst>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8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7" t="s">
        <v>176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68"/>
      <c r="C2" s="268"/>
      <c r="D2" s="26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/>
      <c r="C3" s="272" t="s">
        <v>0</v>
      </c>
      <c r="D3" s="273" t="s">
        <v>121</v>
      </c>
      <c r="E3" s="34"/>
      <c r="F3" s="274" t="s">
        <v>26</v>
      </c>
      <c r="G3" s="275"/>
      <c r="H3" s="275"/>
      <c r="I3" s="275"/>
      <c r="J3" s="276"/>
      <c r="K3" s="89"/>
      <c r="L3" s="89"/>
      <c r="M3" s="277" t="s">
        <v>172</v>
      </c>
      <c r="N3" s="278" t="s">
        <v>173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170</v>
      </c>
      <c r="F4" s="261" t="s">
        <v>34</v>
      </c>
      <c r="G4" s="255" t="s">
        <v>171</v>
      </c>
      <c r="H4" s="263" t="s">
        <v>175</v>
      </c>
      <c r="I4" s="255" t="s">
        <v>122</v>
      </c>
      <c r="J4" s="263" t="s">
        <v>123</v>
      </c>
      <c r="K4" s="91" t="s">
        <v>65</v>
      </c>
      <c r="L4" s="96" t="s">
        <v>64</v>
      </c>
      <c r="M4" s="263"/>
      <c r="N4" s="265" t="s">
        <v>177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78.75" customHeight="1">
      <c r="A5" s="270"/>
      <c r="B5" s="271"/>
      <c r="C5" s="272"/>
      <c r="D5" s="273"/>
      <c r="E5" s="280"/>
      <c r="F5" s="262"/>
      <c r="G5" s="256"/>
      <c r="H5" s="264"/>
      <c r="I5" s="256"/>
      <c r="J5" s="264"/>
      <c r="K5" s="258" t="s">
        <v>174</v>
      </c>
      <c r="L5" s="259"/>
      <c r="M5" s="264"/>
      <c r="N5" s="266"/>
      <c r="O5" s="256"/>
      <c r="P5" s="257"/>
      <c r="Q5" s="258" t="s">
        <v>120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420235.77999999997</v>
      </c>
      <c r="F8" s="191">
        <f>F9+F15+F18+F19+F20+F36+F17</f>
        <v>379423.8499999999</v>
      </c>
      <c r="G8" s="191">
        <f aca="true" t="shared" si="0" ref="G8:G36">F8-E8</f>
        <v>-40811.93000000005</v>
      </c>
      <c r="H8" s="192">
        <f>F8/E8*100</f>
        <v>90.28832575845873</v>
      </c>
      <c r="I8" s="193">
        <f>F8-D8</f>
        <v>-461626.1500000001</v>
      </c>
      <c r="J8" s="193">
        <f>F8/D8*100</f>
        <v>45.113114559181966</v>
      </c>
      <c r="K8" s="191">
        <f>F8-305119.12</f>
        <v>74304.72999999992</v>
      </c>
      <c r="L8" s="191">
        <f>F8/305119.12*100</f>
        <v>124.35269543252483</v>
      </c>
      <c r="M8" s="191">
        <f>M9+M15+M18+M19+M20+M17</f>
        <v>67799.29999999999</v>
      </c>
      <c r="N8" s="191">
        <f>N9+N15+N18+N19+N20+N17</f>
        <v>4428.900000000009</v>
      </c>
      <c r="O8" s="191">
        <f>N8-M8</f>
        <v>-63370.39999999998</v>
      </c>
      <c r="P8" s="191">
        <f>N8/M8*100</f>
        <v>6.532368328286589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223904.27</v>
      </c>
      <c r="F9" s="196">
        <v>202665.39</v>
      </c>
      <c r="G9" s="190">
        <f t="shared" si="0"/>
        <v>-21238.879999999976</v>
      </c>
      <c r="H9" s="197">
        <f>F9/E9*100</f>
        <v>90.51430327791428</v>
      </c>
      <c r="I9" s="198">
        <f>F9-D9</f>
        <v>-257034.61</v>
      </c>
      <c r="J9" s="198">
        <f>F9/D9*100</f>
        <v>44.08644550793996</v>
      </c>
      <c r="K9" s="199">
        <f>F9-171379.72</f>
        <v>31285.670000000013</v>
      </c>
      <c r="L9" s="199">
        <f>F9/171379.72*100</f>
        <v>118.25517628340157</v>
      </c>
      <c r="M9" s="197">
        <f>E9-травень!E9</f>
        <v>41002</v>
      </c>
      <c r="N9" s="200">
        <f>F9-травень!F9</f>
        <v>3564.470000000001</v>
      </c>
      <c r="O9" s="201">
        <f>N9-M9</f>
        <v>-37437.53</v>
      </c>
      <c r="P9" s="198">
        <f>N9/M9*100</f>
        <v>8.693405199746357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199295.84</v>
      </c>
      <c r="F10" s="171">
        <v>177557.04</v>
      </c>
      <c r="G10" s="109">
        <f t="shared" si="0"/>
        <v>-21738.79999999999</v>
      </c>
      <c r="H10" s="32">
        <f aca="true" t="shared" si="1" ref="H10:H35">F10/E10*100</f>
        <v>89.09219580298316</v>
      </c>
      <c r="I10" s="110">
        <f aca="true" t="shared" si="2" ref="I10:I36">F10-D10</f>
        <v>-233882.96</v>
      </c>
      <c r="J10" s="110">
        <f aca="true" t="shared" si="3" ref="J10:J35">F10/D10*100</f>
        <v>43.155026249270854</v>
      </c>
      <c r="K10" s="112">
        <f>F10-152226.9</f>
        <v>25330.140000000014</v>
      </c>
      <c r="L10" s="112">
        <f>F10/152226.9*100</f>
        <v>116.63972661861999</v>
      </c>
      <c r="M10" s="111">
        <f>E10-травень!E10</f>
        <v>37450</v>
      </c>
      <c r="N10" s="179">
        <f>F10-травень!F10</f>
        <v>3388.710000000021</v>
      </c>
      <c r="O10" s="112">
        <f aca="true" t="shared" si="4" ref="O10:O36">N10-M10</f>
        <v>-34061.28999999998</v>
      </c>
      <c r="P10" s="198">
        <f aca="true" t="shared" si="5" ref="P10:P16">N10/M10*100</f>
        <v>9.04862483311087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14164.94</v>
      </c>
      <c r="F11" s="171">
        <v>14679.78</v>
      </c>
      <c r="G11" s="109">
        <f t="shared" si="0"/>
        <v>514.8400000000001</v>
      </c>
      <c r="H11" s="32">
        <f t="shared" si="1"/>
        <v>103.6346077004209</v>
      </c>
      <c r="I11" s="110">
        <f t="shared" si="2"/>
        <v>-8320.22</v>
      </c>
      <c r="J11" s="110">
        <f t="shared" si="3"/>
        <v>63.82513043478261</v>
      </c>
      <c r="K11" s="112">
        <f>F11-9213.1</f>
        <v>5466.68</v>
      </c>
      <c r="L11" s="112">
        <f>F11/9213.1*100</f>
        <v>159.3359455557847</v>
      </c>
      <c r="M11" s="111">
        <f>E11-травень!E11</f>
        <v>1600</v>
      </c>
      <c r="N11" s="179">
        <f>F11-травень!F11</f>
        <v>0.5300000000006548</v>
      </c>
      <c r="O11" s="112">
        <f t="shared" si="4"/>
        <v>-1599.4699999999993</v>
      </c>
      <c r="P11" s="198">
        <f t="shared" si="5"/>
        <v>0.03312500000004093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2720.61</v>
      </c>
      <c r="F12" s="171">
        <v>4645.66</v>
      </c>
      <c r="G12" s="109">
        <f t="shared" si="0"/>
        <v>1925.0499999999997</v>
      </c>
      <c r="H12" s="32">
        <f t="shared" si="1"/>
        <v>170.75802853036635</v>
      </c>
      <c r="I12" s="110">
        <f t="shared" si="2"/>
        <v>-1854.3400000000001</v>
      </c>
      <c r="J12" s="110">
        <f t="shared" si="3"/>
        <v>71.47169230769231</v>
      </c>
      <c r="K12" s="112">
        <f>F12-2592.53</f>
        <v>2053.1299999999997</v>
      </c>
      <c r="L12" s="112">
        <f>F12/2592.53*100</f>
        <v>179.1940691139543</v>
      </c>
      <c r="M12" s="111">
        <f>E12-травень!E12</f>
        <v>500</v>
      </c>
      <c r="N12" s="179">
        <f>F12-травень!F12</f>
        <v>62.43000000000029</v>
      </c>
      <c r="O12" s="112">
        <f t="shared" si="4"/>
        <v>-437.5699999999997</v>
      </c>
      <c r="P12" s="198">
        <f t="shared" si="5"/>
        <v>12.486000000000057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4584.84</v>
      </c>
      <c r="F13" s="171">
        <v>3876.25</v>
      </c>
      <c r="G13" s="109">
        <f t="shared" si="0"/>
        <v>-708.5900000000001</v>
      </c>
      <c r="H13" s="32">
        <f t="shared" si="1"/>
        <v>84.54493504680643</v>
      </c>
      <c r="I13" s="110">
        <f t="shared" si="2"/>
        <v>-8523.75</v>
      </c>
      <c r="J13" s="110">
        <f t="shared" si="3"/>
        <v>31.260080645161292</v>
      </c>
      <c r="K13" s="112">
        <f>F13-2783.41</f>
        <v>1092.8400000000001</v>
      </c>
      <c r="L13" s="112">
        <f>F13/2783.41*100</f>
        <v>139.26263108920352</v>
      </c>
      <c r="M13" s="111">
        <f>E13-травень!E13</f>
        <v>820</v>
      </c>
      <c r="N13" s="179">
        <f>F13-травень!F13</f>
        <v>112.80999999999995</v>
      </c>
      <c r="O13" s="112">
        <f t="shared" si="4"/>
        <v>-707.19</v>
      </c>
      <c r="P13" s="198">
        <f t="shared" si="5"/>
        <v>13.757317073170725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3138.04</v>
      </c>
      <c r="F14" s="171">
        <v>1906.68</v>
      </c>
      <c r="G14" s="109">
        <f t="shared" si="0"/>
        <v>-1231.36</v>
      </c>
      <c r="H14" s="32">
        <f t="shared" si="1"/>
        <v>60.76021975500632</v>
      </c>
      <c r="I14" s="110">
        <f t="shared" si="2"/>
        <v>-4453.32</v>
      </c>
      <c r="J14" s="110">
        <f t="shared" si="3"/>
        <v>29.97924528301887</v>
      </c>
      <c r="K14" s="112">
        <f>F14-4563.77</f>
        <v>-2657.09</v>
      </c>
      <c r="L14" s="112">
        <f>F14/4563.77*100</f>
        <v>41.77861723969437</v>
      </c>
      <c r="M14" s="111">
        <f>E14-травень!E14</f>
        <v>632</v>
      </c>
      <c r="N14" s="179">
        <f>F14-травень!F14</f>
        <v>0</v>
      </c>
      <c r="O14" s="112">
        <f t="shared" si="4"/>
        <v>-632</v>
      </c>
      <c r="P14" s="198">
        <f t="shared" si="5"/>
        <v>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240</v>
      </c>
      <c r="F15" s="196">
        <v>309.24</v>
      </c>
      <c r="G15" s="190">
        <f t="shared" si="0"/>
        <v>69.24000000000001</v>
      </c>
      <c r="H15" s="197">
        <f>F15/E15*100</f>
        <v>128.85</v>
      </c>
      <c r="I15" s="198">
        <f t="shared" si="2"/>
        <v>-190.76</v>
      </c>
      <c r="J15" s="198">
        <f t="shared" si="3"/>
        <v>61.848000000000006</v>
      </c>
      <c r="K15" s="201">
        <f>F15-(-858.14)</f>
        <v>1167.38</v>
      </c>
      <c r="L15" s="201">
        <f>F15/(-858.14)*100</f>
        <v>-36.036078029226005</v>
      </c>
      <c r="M15" s="197">
        <f>E15-травень!E15</f>
        <v>5</v>
      </c>
      <c r="N15" s="200">
        <f>F15-травень!F15</f>
        <v>0</v>
      </c>
      <c r="O15" s="201">
        <f t="shared" si="4"/>
        <v>-5</v>
      </c>
      <c r="P15" s="198">
        <f t="shared" si="5"/>
        <v>0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E16-травень!E16</f>
        <v>0</v>
      </c>
      <c r="N16" s="200">
        <f>F16-травень!F16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E17-травень!E17</f>
        <v>0</v>
      </c>
      <c r="N17" s="200">
        <f>F17-травень!F17</f>
        <v>0</v>
      </c>
      <c r="O17" s="207">
        <f t="shared" si="4"/>
        <v>0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E18-травень!E18</f>
        <v>0</v>
      </c>
      <c r="N18" s="200">
        <f>F18-травень!F18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47860.4</v>
      </c>
      <c r="F19" s="196">
        <v>35243.8</v>
      </c>
      <c r="G19" s="190">
        <f t="shared" si="0"/>
        <v>-12616.599999999999</v>
      </c>
      <c r="H19" s="197">
        <f t="shared" si="1"/>
        <v>73.63874936272994</v>
      </c>
      <c r="I19" s="198">
        <f t="shared" si="2"/>
        <v>-74656.2</v>
      </c>
      <c r="J19" s="198">
        <f t="shared" si="3"/>
        <v>32.068971792538676</v>
      </c>
      <c r="K19" s="209">
        <f>F19-30116.49</f>
        <v>5127.310000000001</v>
      </c>
      <c r="L19" s="209">
        <f>F19/30116.49*100</f>
        <v>117.02492554743264</v>
      </c>
      <c r="M19" s="197">
        <f>E19-травень!E19</f>
        <v>9800</v>
      </c>
      <c r="N19" s="200">
        <f>F19-травень!F19</f>
        <v>13.240000000005239</v>
      </c>
      <c r="O19" s="201">
        <f t="shared" si="4"/>
        <v>-9786.759999999995</v>
      </c>
      <c r="P19" s="198">
        <f aca="true" t="shared" si="6" ref="P19:P24">N19/M19*100</f>
        <v>0.13510204081638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148221.11</v>
      </c>
      <c r="F20" s="210">
        <f>F21+F29+F31+F30</f>
        <v>141099.44999999998</v>
      </c>
      <c r="G20" s="190">
        <f t="shared" si="0"/>
        <v>-7121.6600000000035</v>
      </c>
      <c r="H20" s="197">
        <f t="shared" si="1"/>
        <v>95.19524580540518</v>
      </c>
      <c r="I20" s="198">
        <f t="shared" si="2"/>
        <v>-129840.55000000002</v>
      </c>
      <c r="J20" s="198">
        <f t="shared" si="3"/>
        <v>52.077747840850364</v>
      </c>
      <c r="K20" s="198">
        <f>F20-100444.36</f>
        <v>40655.08999999998</v>
      </c>
      <c r="L20" s="198">
        <f>F20/100444.36*100</f>
        <v>140.47523424909073</v>
      </c>
      <c r="M20" s="197">
        <f>M21+M29+M30+M31</f>
        <v>16992.299999999985</v>
      </c>
      <c r="N20" s="200">
        <f>F20-травень!F20</f>
        <v>851.1900000000023</v>
      </c>
      <c r="O20" s="201">
        <f t="shared" si="4"/>
        <v>-16141.109999999982</v>
      </c>
      <c r="P20" s="198">
        <f t="shared" si="6"/>
        <v>5.009268904150722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78143.36</v>
      </c>
      <c r="F21" s="211">
        <f>F22+F25+F26</f>
        <v>71931.28</v>
      </c>
      <c r="G21" s="190">
        <f t="shared" si="0"/>
        <v>-6212.080000000002</v>
      </c>
      <c r="H21" s="197">
        <f t="shared" si="1"/>
        <v>92.05040581822946</v>
      </c>
      <c r="I21" s="198">
        <f t="shared" si="2"/>
        <v>-89468.72</v>
      </c>
      <c r="J21" s="198">
        <f t="shared" si="3"/>
        <v>44.56708798017348</v>
      </c>
      <c r="K21" s="198">
        <f>F21-54757.32</f>
        <v>17173.96</v>
      </c>
      <c r="L21" s="198">
        <f>F21/54757.32*100</f>
        <v>131.36377017721102</v>
      </c>
      <c r="M21" s="197">
        <f>M22+M25+M26</f>
        <v>13047.099999999999</v>
      </c>
      <c r="N21" s="200">
        <f>F21-травень!F21</f>
        <v>391.1399999999994</v>
      </c>
      <c r="O21" s="201">
        <f t="shared" si="4"/>
        <v>-12655.96</v>
      </c>
      <c r="P21" s="198">
        <f t="shared" si="6"/>
        <v>2.9979075809950064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8611.6</v>
      </c>
      <c r="F22" s="213">
        <v>8646.04</v>
      </c>
      <c r="G22" s="212">
        <f t="shared" si="0"/>
        <v>34.44000000000051</v>
      </c>
      <c r="H22" s="214">
        <f t="shared" si="1"/>
        <v>100.39992568163873</v>
      </c>
      <c r="I22" s="215">
        <f t="shared" si="2"/>
        <v>-9853.96</v>
      </c>
      <c r="J22" s="215">
        <f t="shared" si="3"/>
        <v>46.735351351351355</v>
      </c>
      <c r="K22" s="216">
        <f>F22-4957.1</f>
        <v>3688.9400000000005</v>
      </c>
      <c r="L22" s="216">
        <f>F22/4957.1*100</f>
        <v>174.41730043775593</v>
      </c>
      <c r="M22" s="214">
        <f>E22-травень!E22</f>
        <v>240</v>
      </c>
      <c r="N22" s="217">
        <f>F22-травень!F22</f>
        <v>5.890000000001237</v>
      </c>
      <c r="O22" s="218">
        <f t="shared" si="4"/>
        <v>-234.10999999999876</v>
      </c>
      <c r="P22" s="215">
        <f t="shared" si="6"/>
        <v>2.454166666667182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389.1</v>
      </c>
      <c r="F23" s="203">
        <v>263.65</v>
      </c>
      <c r="G23" s="241">
        <f t="shared" si="0"/>
        <v>-125.45000000000005</v>
      </c>
      <c r="H23" s="242">
        <f t="shared" si="1"/>
        <v>67.75893086610125</v>
      </c>
      <c r="I23" s="243">
        <f t="shared" si="2"/>
        <v>-1736.35</v>
      </c>
      <c r="J23" s="243">
        <f t="shared" si="3"/>
        <v>13.1825</v>
      </c>
      <c r="K23" s="244">
        <f>F23-284.18</f>
        <v>-20.53000000000003</v>
      </c>
      <c r="L23" s="244">
        <f>F23/284.18*100</f>
        <v>92.77570553874304</v>
      </c>
      <c r="M23" s="239">
        <f>E23-травень!E23</f>
        <v>40</v>
      </c>
      <c r="N23" s="239">
        <f>F23-травень!F23</f>
        <v>0</v>
      </c>
      <c r="O23" s="240">
        <f t="shared" si="4"/>
        <v>-40</v>
      </c>
      <c r="P23" s="240">
        <f t="shared" si="6"/>
        <v>0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v>8222.5</v>
      </c>
      <c r="F24" s="203">
        <v>8382.4</v>
      </c>
      <c r="G24" s="241">
        <f t="shared" si="0"/>
        <v>159.89999999999964</v>
      </c>
      <c r="H24" s="242">
        <f t="shared" si="1"/>
        <v>101.94466403162055</v>
      </c>
      <c r="I24" s="243">
        <f t="shared" si="2"/>
        <v>-8117.6</v>
      </c>
      <c r="J24" s="243">
        <f t="shared" si="3"/>
        <v>50.80242424242424</v>
      </c>
      <c r="K24" s="244">
        <f>F24-4672.92</f>
        <v>3709.4799999999996</v>
      </c>
      <c r="L24" s="244">
        <f>F24/4672.92*100</f>
        <v>179.38248461347507</v>
      </c>
      <c r="M24" s="239">
        <f>E24-травень!E24</f>
        <v>200</v>
      </c>
      <c r="N24" s="239">
        <f>F24-травень!F24</f>
        <v>5.899999999999636</v>
      </c>
      <c r="O24" s="240">
        <f t="shared" si="4"/>
        <v>-194.10000000000036</v>
      </c>
      <c r="P24" s="240">
        <f t="shared" si="6"/>
        <v>2.949999999999818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0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F25-210.68</f>
        <v>209.39999999999998</v>
      </c>
      <c r="L25" s="215">
        <f>F25/210.68*100</f>
        <v>199.39244351623313</v>
      </c>
      <c r="M25" s="214">
        <f>E25-травень!E25</f>
        <v>0</v>
      </c>
      <c r="N25" s="217">
        <f>F25-травень!F25</f>
        <v>0</v>
      </c>
      <c r="O25" s="218">
        <f t="shared" si="4"/>
        <v>0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69254.92</v>
      </c>
      <c r="F26" s="213">
        <v>62865.16</v>
      </c>
      <c r="G26" s="212">
        <f t="shared" si="0"/>
        <v>-6389.759999999995</v>
      </c>
      <c r="H26" s="214">
        <f t="shared" si="1"/>
        <v>90.77356525716874</v>
      </c>
      <c r="I26" s="215">
        <f t="shared" si="2"/>
        <v>-77234.84</v>
      </c>
      <c r="J26" s="215">
        <f t="shared" si="3"/>
        <v>44.87163454675232</v>
      </c>
      <c r="K26" s="216">
        <f>F26-49589.53</f>
        <v>13275.630000000005</v>
      </c>
      <c r="L26" s="216">
        <f>F26/49589.53*100</f>
        <v>126.77103412756685</v>
      </c>
      <c r="M26" s="214">
        <f>E26-травень!E26</f>
        <v>12807.099999999999</v>
      </c>
      <c r="N26" s="217">
        <f>F26-травень!F26</f>
        <v>385.25</v>
      </c>
      <c r="O26" s="218">
        <f t="shared" si="4"/>
        <v>-12421.849999999999</v>
      </c>
      <c r="P26" s="215">
        <f>N26/M26*100</f>
        <v>3.0080970711558437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19429.75</v>
      </c>
      <c r="F27" s="203">
        <v>19464.29</v>
      </c>
      <c r="G27" s="241">
        <f t="shared" si="0"/>
        <v>34.54000000000087</v>
      </c>
      <c r="H27" s="242">
        <f t="shared" si="1"/>
        <v>100.17776862800602</v>
      </c>
      <c r="I27" s="243">
        <f t="shared" si="2"/>
        <v>-18592.71</v>
      </c>
      <c r="J27" s="243">
        <f t="shared" si="3"/>
        <v>51.145098142260295</v>
      </c>
      <c r="K27" s="244">
        <f>F27-12926</f>
        <v>6538.290000000001</v>
      </c>
      <c r="L27" s="244">
        <f>F27/12926*100</f>
        <v>150.58246944143588</v>
      </c>
      <c r="M27" s="239">
        <f>E27-12724.05</f>
        <v>6705.700000000001</v>
      </c>
      <c r="N27" s="239">
        <f>F27-15205.9</f>
        <v>4258.390000000001</v>
      </c>
      <c r="O27" s="240">
        <f t="shared" si="4"/>
        <v>-2447.3099999999995</v>
      </c>
      <c r="P27" s="240">
        <f>N27/M27*100</f>
        <v>63.504033881623116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49825.17</v>
      </c>
      <c r="F28" s="203">
        <v>43400.87</v>
      </c>
      <c r="G28" s="241">
        <f t="shared" si="0"/>
        <v>-6424.299999999996</v>
      </c>
      <c r="H28" s="242">
        <f t="shared" si="1"/>
        <v>87.10631594433096</v>
      </c>
      <c r="I28" s="243">
        <f t="shared" si="2"/>
        <v>33357.87</v>
      </c>
      <c r="J28" s="243">
        <f t="shared" si="3"/>
        <v>432.1504530518769</v>
      </c>
      <c r="K28" s="244">
        <f>F28-36663.53</f>
        <v>6737.340000000004</v>
      </c>
      <c r="L28" s="244">
        <f>F28/36663.53*100</f>
        <v>118.37613563123901</v>
      </c>
      <c r="M28" s="239">
        <f>E28-32053.77</f>
        <v>17771.399999999998</v>
      </c>
      <c r="N28" s="239">
        <f>F28-34030.56</f>
        <v>9370.310000000005</v>
      </c>
      <c r="O28" s="240">
        <f t="shared" si="4"/>
        <v>-8401.089999999993</v>
      </c>
      <c r="P28" s="240">
        <f>N28/M28*100</f>
        <v>52.726909528793485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35.71</v>
      </c>
      <c r="F29" s="196">
        <v>51.15</v>
      </c>
      <c r="G29" s="190">
        <f t="shared" si="0"/>
        <v>15.439999999999998</v>
      </c>
      <c r="H29" s="197">
        <f t="shared" si="1"/>
        <v>143.2371884626155</v>
      </c>
      <c r="I29" s="198">
        <f t="shared" si="2"/>
        <v>-25.85</v>
      </c>
      <c r="J29" s="198">
        <f t="shared" si="3"/>
        <v>66.42857142857143</v>
      </c>
      <c r="K29" s="198">
        <f>F29-37.42</f>
        <v>13.729999999999997</v>
      </c>
      <c r="L29" s="198">
        <f>F29/37.42*100</f>
        <v>136.6916087653661</v>
      </c>
      <c r="M29" s="197">
        <f>E29-травень!E29</f>
        <v>5.199999999999999</v>
      </c>
      <c r="N29" s="200">
        <f>F29-травень!F29</f>
        <v>0.00999999999999801</v>
      </c>
      <c r="O29" s="201">
        <f t="shared" si="4"/>
        <v>-5.190000000000001</v>
      </c>
      <c r="P29" s="198">
        <f>N29/M29*100</f>
        <v>0.19230769230765407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t="shared" si="0"/>
        <v>-109.72</v>
      </c>
      <c r="H30" s="197"/>
      <c r="I30" s="198">
        <f t="shared" si="2"/>
        <v>-109.72</v>
      </c>
      <c r="J30" s="198"/>
      <c r="K30" s="198">
        <f>F30-(-403.36)</f>
        <v>293.64</v>
      </c>
      <c r="L30" s="198">
        <f>F30/(-403.36)*100</f>
        <v>27.201507338357793</v>
      </c>
      <c r="M30" s="197">
        <f>E30-травень!E30</f>
        <v>0</v>
      </c>
      <c r="N30" s="200">
        <f>F30-травень!F30</f>
        <v>0</v>
      </c>
      <c r="O30" s="201">
        <f t="shared" si="4"/>
        <v>0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v>70042.04</v>
      </c>
      <c r="F31" s="203">
        <v>69226.74</v>
      </c>
      <c r="G31" s="202">
        <f t="shared" si="0"/>
        <v>-815.2999999999884</v>
      </c>
      <c r="H31" s="204">
        <f t="shared" si="1"/>
        <v>98.83598478856415</v>
      </c>
      <c r="I31" s="205">
        <f t="shared" si="2"/>
        <v>-40236.259999999995</v>
      </c>
      <c r="J31" s="205">
        <f t="shared" si="3"/>
        <v>63.24213661237131</v>
      </c>
      <c r="K31" s="219">
        <f>F31-46052.97</f>
        <v>23173.770000000004</v>
      </c>
      <c r="L31" s="219">
        <f>F31/46052.97*100</f>
        <v>150.3198165069484</v>
      </c>
      <c r="M31" s="197">
        <f>E31-травень!E31</f>
        <v>3939.9999999999854</v>
      </c>
      <c r="N31" s="200">
        <f>F31-травень!F31</f>
        <v>460.04000000000815</v>
      </c>
      <c r="O31" s="207">
        <f t="shared" si="4"/>
        <v>-3479.9599999999773</v>
      </c>
      <c r="P31" s="205">
        <f>N31/M31*100</f>
        <v>11.676142131979946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0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E32-травень!E32</f>
        <v>0</v>
      </c>
      <c r="N32" s="179">
        <f>F32-травень!F32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v>17695.97</v>
      </c>
      <c r="F33" s="171">
        <v>17588.8</v>
      </c>
      <c r="G33" s="109">
        <f t="shared" si="0"/>
        <v>-107.17000000000189</v>
      </c>
      <c r="H33" s="111">
        <f t="shared" si="1"/>
        <v>99.39438188468898</v>
      </c>
      <c r="I33" s="110">
        <f t="shared" si="2"/>
        <v>-10011.2</v>
      </c>
      <c r="J33" s="110">
        <f t="shared" si="3"/>
        <v>63.72753623188405</v>
      </c>
      <c r="K33" s="142">
        <f>F33-11423.16</f>
        <v>6165.639999999999</v>
      </c>
      <c r="L33" s="142">
        <f>F33/11423.16*100</f>
        <v>153.97490711852063</v>
      </c>
      <c r="M33" s="111">
        <f>E33-травень!E33</f>
        <v>940</v>
      </c>
      <c r="N33" s="179">
        <f>F33-травень!F33</f>
        <v>36.73999999999796</v>
      </c>
      <c r="O33" s="112">
        <f t="shared" si="4"/>
        <v>-903.260000000002</v>
      </c>
      <c r="P33" s="110">
        <f>N33/M33*100</f>
        <v>3.9085106382976553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v>52336.08</v>
      </c>
      <c r="F34" s="171">
        <v>51459.33</v>
      </c>
      <c r="G34" s="109">
        <f t="shared" si="0"/>
        <v>-876.75</v>
      </c>
      <c r="H34" s="111">
        <f t="shared" si="1"/>
        <v>98.32476945159057</v>
      </c>
      <c r="I34" s="110">
        <f t="shared" si="2"/>
        <v>-30352.67</v>
      </c>
      <c r="J34" s="110">
        <f t="shared" si="3"/>
        <v>62.899489072507706</v>
      </c>
      <c r="K34" s="142">
        <f>F34-34622.85</f>
        <v>16836.480000000003</v>
      </c>
      <c r="L34" s="142">
        <f>F34/34622.85*100</f>
        <v>148.62823251118843</v>
      </c>
      <c r="M34" s="111">
        <f>E34-травень!E34</f>
        <v>3000</v>
      </c>
      <c r="N34" s="179">
        <f>F34-травень!F34</f>
        <v>258.8700000000026</v>
      </c>
      <c r="O34" s="112">
        <f t="shared" si="4"/>
        <v>-2741.1299999999974</v>
      </c>
      <c r="P34" s="110">
        <f>N34/M34*100</f>
        <v>8.629000000000088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0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F35-8.17</f>
        <v>5.84</v>
      </c>
      <c r="L35" s="142">
        <f>F35/8.17*100</f>
        <v>171.4810281517748</v>
      </c>
      <c r="M35" s="111">
        <f>E35-травень!E35</f>
        <v>0</v>
      </c>
      <c r="N35" s="179">
        <f>F35-травень!F35</f>
        <v>0</v>
      </c>
      <c r="O35" s="112">
        <f t="shared" si="4"/>
        <v>0</v>
      </c>
      <c r="P35" s="110"/>
      <c r="Q35" s="113"/>
      <c r="R35" s="114"/>
    </row>
    <row r="36" spans="1:18" s="6" customFormat="1" ht="15" customHeight="1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0"/>
        <v>0</v>
      </c>
      <c r="H36" s="32"/>
      <c r="I36" s="42">
        <f t="shared" si="2"/>
        <v>0</v>
      </c>
      <c r="J36" s="42"/>
      <c r="K36" s="132">
        <f>F36-4020.8</f>
        <v>-4020.8</v>
      </c>
      <c r="L36" s="132">
        <f>F36/2014.1*100</f>
        <v>0</v>
      </c>
      <c r="M36" s="32">
        <v>0</v>
      </c>
      <c r="N36" s="178">
        <f>F36-травень!F36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21498.029999999995</v>
      </c>
      <c r="F37" s="15">
        <f>F38+F39+F40+F41+F42+F44+F46+F47+F48+F49+F50+F55+F56+F60+F43</f>
        <v>27558.46</v>
      </c>
      <c r="G37" s="191">
        <f>G38+G39+G40+G41+G42+G44+G46+G47+G48+G49+G50+G55+G56+G60</f>
        <v>6053.63</v>
      </c>
      <c r="H37" s="192">
        <f>F37/E37*100</f>
        <v>128.19062956001088</v>
      </c>
      <c r="I37" s="193">
        <f>F37-D37</f>
        <v>-15261.54</v>
      </c>
      <c r="J37" s="193">
        <f>F37/D37*100</f>
        <v>64.35885100420364</v>
      </c>
      <c r="K37" s="191">
        <f>F37-15873</f>
        <v>11685.46</v>
      </c>
      <c r="L37" s="191">
        <f>F37/15873*100</f>
        <v>173.6184716184716</v>
      </c>
      <c r="M37" s="191">
        <f>M38+M39+M40+M41+M42+M44+M46+M47+M48+M49+M50+M55+M56+M60</f>
        <v>3691.0000000000005</v>
      </c>
      <c r="N37" s="191">
        <f>N38+N39+N40+N41+N42+N44+N46+N47+N48+N49+N50+N55+N56+N60+N43</f>
        <v>4718.039999999999</v>
      </c>
      <c r="O37" s="191">
        <f>O38+O39+O40+O41+O42+O44+O46+O47+O48+O49+O50+O55+O56+O60</f>
        <v>1027.0399999999993</v>
      </c>
      <c r="P37" s="191">
        <f>N37/M37*100</f>
        <v>127.82552153887832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67</v>
      </c>
      <c r="F38" s="170">
        <v>240.17</v>
      </c>
      <c r="G38" s="202">
        <f>F38-E38</f>
        <v>173.17</v>
      </c>
      <c r="H38" s="204">
        <f aca="true" t="shared" si="7" ref="H38:H61">F38/E38*100</f>
        <v>358.46268656716416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E38-травень!E38</f>
        <v>3</v>
      </c>
      <c r="N38" s="208">
        <f>F38-травень!F38</f>
        <v>0</v>
      </c>
      <c r="O38" s="207">
        <f>N38-M38</f>
        <v>-3</v>
      </c>
      <c r="P38" s="205">
        <f aca="true" t="shared" si="8" ref="P38:P61">N38/M38*100</f>
        <v>0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6537</v>
      </c>
      <c r="F39" s="170">
        <v>13895.81</v>
      </c>
      <c r="G39" s="202">
        <f aca="true" t="shared" si="9" ref="G39:G62">F39-E39</f>
        <v>7358.8099999999995</v>
      </c>
      <c r="H39" s="204">
        <f t="shared" si="7"/>
        <v>212.57166896129723</v>
      </c>
      <c r="I39" s="205">
        <f aca="true" t="shared" si="10" ref="I39:I62">F39-D39</f>
        <v>3895.8099999999995</v>
      </c>
      <c r="J39" s="205">
        <f>F39/D39*100</f>
        <v>138.9581</v>
      </c>
      <c r="K39" s="205">
        <f>F39-0</f>
        <v>13895.81</v>
      </c>
      <c r="L39" s="205"/>
      <c r="M39" s="204">
        <f>E39-травень!E39</f>
        <v>1000</v>
      </c>
      <c r="N39" s="208">
        <f>F39-травень!F39</f>
        <v>3797.08</v>
      </c>
      <c r="O39" s="207">
        <f aca="true" t="shared" si="11" ref="O39:O62">N39-M39</f>
        <v>2797.08</v>
      </c>
      <c r="P39" s="205">
        <f t="shared" si="8"/>
        <v>379.70799999999997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111.44</v>
      </c>
      <c r="F40" s="170">
        <v>27.51</v>
      </c>
      <c r="G40" s="202">
        <f t="shared" si="9"/>
        <v>-83.92999999999999</v>
      </c>
      <c r="H40" s="204">
        <f t="shared" si="7"/>
        <v>24.68592964824121</v>
      </c>
      <c r="I40" s="205">
        <f t="shared" si="10"/>
        <v>-372.49</v>
      </c>
      <c r="J40" s="205">
        <f aca="true" t="shared" si="12" ref="J40:J61">F40/D40*100</f>
        <v>6.8775</v>
      </c>
      <c r="K40" s="205">
        <f>F40-188.18</f>
        <v>-160.67000000000002</v>
      </c>
      <c r="L40" s="205">
        <f>F40/188.18*100</f>
        <v>14.618981825911362</v>
      </c>
      <c r="M40" s="204">
        <f>E40-травень!E40</f>
        <v>20</v>
      </c>
      <c r="N40" s="208">
        <f>F40-травень!F40</f>
        <v>0</v>
      </c>
      <c r="O40" s="207">
        <f t="shared" si="11"/>
        <v>-20</v>
      </c>
      <c r="P40" s="205">
        <f t="shared" si="8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9"/>
        <v>0.1</v>
      </c>
      <c r="H41" s="204"/>
      <c r="I41" s="205">
        <f t="shared" si="10"/>
        <v>0.1</v>
      </c>
      <c r="J41" s="205"/>
      <c r="K41" s="205">
        <f>F41-0</f>
        <v>0.1</v>
      </c>
      <c r="L41" s="205"/>
      <c r="M41" s="204">
        <f>E41-травень!E41</f>
        <v>0</v>
      </c>
      <c r="N41" s="208">
        <f>F41-травень!F41</f>
        <v>0</v>
      </c>
      <c r="O41" s="207">
        <f t="shared" si="11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60</v>
      </c>
      <c r="F42" s="170">
        <v>52.83</v>
      </c>
      <c r="G42" s="202">
        <f t="shared" si="9"/>
        <v>-7.170000000000002</v>
      </c>
      <c r="H42" s="204">
        <f t="shared" si="7"/>
        <v>88.05</v>
      </c>
      <c r="I42" s="205">
        <f t="shared" si="10"/>
        <v>-97.17</v>
      </c>
      <c r="J42" s="205">
        <f t="shared" si="12"/>
        <v>35.22</v>
      </c>
      <c r="K42" s="205">
        <f>F42-81.62</f>
        <v>-28.790000000000006</v>
      </c>
      <c r="L42" s="205">
        <f>F42/81.62*100</f>
        <v>64.72678265131094</v>
      </c>
      <c r="M42" s="204">
        <f>E42-травень!E42</f>
        <v>10</v>
      </c>
      <c r="N42" s="208">
        <f>F42-травень!F42</f>
        <v>2.4299999999999997</v>
      </c>
      <c r="O42" s="207">
        <f t="shared" si="11"/>
        <v>-7.57</v>
      </c>
      <c r="P42" s="205">
        <f t="shared" si="8"/>
        <v>24.299999999999997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9"/>
        <v>6.8</v>
      </c>
      <c r="H43" s="204"/>
      <c r="I43" s="205">
        <f t="shared" si="10"/>
        <v>6.8</v>
      </c>
      <c r="J43" s="205"/>
      <c r="K43" s="205">
        <f>F43-2.5</f>
        <v>4.3</v>
      </c>
      <c r="L43" s="205">
        <f>F43/2.5*100</f>
        <v>272</v>
      </c>
      <c r="M43" s="204">
        <f>E43-травень!E43</f>
        <v>0</v>
      </c>
      <c r="N43" s="208">
        <f>F43-травень!F43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40</v>
      </c>
      <c r="F44" s="170">
        <v>93.81</v>
      </c>
      <c r="G44" s="202">
        <f t="shared" si="9"/>
        <v>53.81</v>
      </c>
      <c r="H44" s="204">
        <f t="shared" si="7"/>
        <v>234.525</v>
      </c>
      <c r="I44" s="205">
        <f t="shared" si="10"/>
        <v>3.8100000000000023</v>
      </c>
      <c r="J44" s="205">
        <f t="shared" si="12"/>
        <v>104.23333333333333</v>
      </c>
      <c r="K44" s="205">
        <f>F44-0</f>
        <v>93.81</v>
      </c>
      <c r="L44" s="205"/>
      <c r="M44" s="204">
        <f>E44-травень!E44</f>
        <v>8</v>
      </c>
      <c r="N44" s="208">
        <f>F44-травень!F44</f>
        <v>17.480000000000004</v>
      </c>
      <c r="O44" s="207">
        <f t="shared" si="11"/>
        <v>9.480000000000004</v>
      </c>
      <c r="P44" s="205">
        <f t="shared" si="8"/>
        <v>218.50000000000006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E45-травень!E45</f>
        <v>0</v>
      </c>
      <c r="N45" s="208">
        <f>F45-травень!F45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4539.02</v>
      </c>
      <c r="F46" s="170">
        <v>4197.16</v>
      </c>
      <c r="G46" s="202">
        <f t="shared" si="9"/>
        <v>-341.8600000000006</v>
      </c>
      <c r="H46" s="204">
        <f t="shared" si="7"/>
        <v>92.46841829293547</v>
      </c>
      <c r="I46" s="205">
        <f t="shared" si="10"/>
        <v>-5702.84</v>
      </c>
      <c r="J46" s="205">
        <f t="shared" si="12"/>
        <v>42.39555555555555</v>
      </c>
      <c r="K46" s="205">
        <f>F46-4927.6</f>
        <v>-730.4400000000005</v>
      </c>
      <c r="L46" s="205">
        <f>F46/4927.6*100</f>
        <v>85.17655653868007</v>
      </c>
      <c r="M46" s="204">
        <f>E46-травень!E46</f>
        <v>800.0000000000005</v>
      </c>
      <c r="N46" s="208">
        <f>F46-травень!F46</f>
        <v>139.75</v>
      </c>
      <c r="O46" s="207">
        <f t="shared" si="11"/>
        <v>-660.2500000000005</v>
      </c>
      <c r="P46" s="205">
        <f t="shared" si="8"/>
        <v>17.468749999999993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650</v>
      </c>
      <c r="F47" s="170">
        <v>39.09</v>
      </c>
      <c r="G47" s="202">
        <f t="shared" si="9"/>
        <v>-610.91</v>
      </c>
      <c r="H47" s="204">
        <f t="shared" si="7"/>
        <v>6.0138461538461545</v>
      </c>
      <c r="I47" s="205">
        <f t="shared" si="10"/>
        <v>-1460.91</v>
      </c>
      <c r="J47" s="205">
        <f t="shared" si="12"/>
        <v>2.6060000000000003</v>
      </c>
      <c r="K47" s="205">
        <f>F47-0</f>
        <v>39.09</v>
      </c>
      <c r="L47" s="205"/>
      <c r="M47" s="204">
        <f>E47-травень!E47</f>
        <v>130</v>
      </c>
      <c r="N47" s="208">
        <f>F47-травень!F47</f>
        <v>5.160000000000004</v>
      </c>
      <c r="O47" s="207">
        <f t="shared" si="11"/>
        <v>-124.84</v>
      </c>
      <c r="P47" s="205">
        <f t="shared" si="8"/>
        <v>3.969230769230772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20</v>
      </c>
      <c r="F48" s="170">
        <v>7.72</v>
      </c>
      <c r="G48" s="202">
        <f t="shared" si="9"/>
        <v>-12.280000000000001</v>
      </c>
      <c r="H48" s="204">
        <f t="shared" si="7"/>
        <v>38.6</v>
      </c>
      <c r="I48" s="205">
        <f t="shared" si="10"/>
        <v>-42.28</v>
      </c>
      <c r="J48" s="205">
        <f t="shared" si="12"/>
        <v>15.439999999999998</v>
      </c>
      <c r="K48" s="205">
        <f>F48-0</f>
        <v>7.72</v>
      </c>
      <c r="L48" s="205"/>
      <c r="M48" s="204">
        <f>E48-травень!E48</f>
        <v>4</v>
      </c>
      <c r="N48" s="208">
        <f>F48-травень!F48</f>
        <v>0</v>
      </c>
      <c r="O48" s="207">
        <f t="shared" si="11"/>
        <v>-4</v>
      </c>
      <c r="P48" s="205">
        <f t="shared" si="8"/>
        <v>0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3966.23</v>
      </c>
      <c r="F49" s="170">
        <v>3928.05</v>
      </c>
      <c r="G49" s="202">
        <f t="shared" si="9"/>
        <v>-38.179999999999836</v>
      </c>
      <c r="H49" s="204">
        <f t="shared" si="7"/>
        <v>99.037373021736</v>
      </c>
      <c r="I49" s="205">
        <f t="shared" si="10"/>
        <v>-4571.95</v>
      </c>
      <c r="J49" s="205">
        <f t="shared" si="12"/>
        <v>46.21235294117647</v>
      </c>
      <c r="K49" s="205">
        <f>F49-4302.71</f>
        <v>-374.65999999999985</v>
      </c>
      <c r="L49" s="205">
        <f>F49/4302.71*100</f>
        <v>91.29246451654888</v>
      </c>
      <c r="M49" s="204">
        <f>E49-травень!E49</f>
        <v>650</v>
      </c>
      <c r="N49" s="208">
        <f>F49-травень!F49</f>
        <v>623.8100000000004</v>
      </c>
      <c r="O49" s="207">
        <f t="shared" si="11"/>
        <v>-26.1899999999996</v>
      </c>
      <c r="P49" s="205">
        <f t="shared" si="8"/>
        <v>95.97076923076929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3219.19</v>
      </c>
      <c r="F50" s="170">
        <v>2660.45</v>
      </c>
      <c r="G50" s="202">
        <f t="shared" si="9"/>
        <v>-558.7400000000002</v>
      </c>
      <c r="H50" s="204">
        <f t="shared" si="7"/>
        <v>82.64346000080765</v>
      </c>
      <c r="I50" s="205">
        <f t="shared" si="10"/>
        <v>-4639.55</v>
      </c>
      <c r="J50" s="205">
        <f t="shared" si="12"/>
        <v>36.4445205479452</v>
      </c>
      <c r="K50" s="205">
        <f>F50-4033.24</f>
        <v>-1372.79</v>
      </c>
      <c r="L50" s="205">
        <f>F50/4033.24*100</f>
        <v>65.96309666669973</v>
      </c>
      <c r="M50" s="204">
        <f>E50-травень!E50</f>
        <v>666</v>
      </c>
      <c r="N50" s="208">
        <f>F50-травень!F50</f>
        <v>86.98999999999978</v>
      </c>
      <c r="O50" s="207">
        <f t="shared" si="11"/>
        <v>-579.0100000000002</v>
      </c>
      <c r="P50" s="205">
        <f t="shared" si="8"/>
        <v>13.061561561561529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551.99</v>
      </c>
      <c r="F51" s="171">
        <v>380.92</v>
      </c>
      <c r="G51" s="36">
        <f t="shared" si="9"/>
        <v>-171.07</v>
      </c>
      <c r="H51" s="32">
        <f t="shared" si="7"/>
        <v>69.00849653073425</v>
      </c>
      <c r="I51" s="110">
        <f t="shared" si="10"/>
        <v>-719.0799999999999</v>
      </c>
      <c r="J51" s="110">
        <f t="shared" si="12"/>
        <v>34.62909090909091</v>
      </c>
      <c r="K51" s="110">
        <f>F51-582.74</f>
        <v>-201.82</v>
      </c>
      <c r="L51" s="110">
        <f>F51/582.74*100</f>
        <v>65.36705906579263</v>
      </c>
      <c r="M51" s="111">
        <f>E51-травень!E51</f>
        <v>185</v>
      </c>
      <c r="N51" s="179">
        <f>F51-травень!F51</f>
        <v>13.370000000000005</v>
      </c>
      <c r="O51" s="112">
        <f t="shared" si="11"/>
        <v>-171.63</v>
      </c>
      <c r="P51" s="132">
        <f t="shared" si="8"/>
        <v>7.227027027027029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5.04</v>
      </c>
      <c r="F52" s="171">
        <v>0.23</v>
      </c>
      <c r="G52" s="36">
        <f t="shared" si="9"/>
        <v>-4.81</v>
      </c>
      <c r="H52" s="32">
        <f t="shared" si="7"/>
        <v>4.563492063492064</v>
      </c>
      <c r="I52" s="110">
        <f t="shared" si="10"/>
        <v>-44.77</v>
      </c>
      <c r="J52" s="110">
        <f t="shared" si="12"/>
        <v>0.5111111111111112</v>
      </c>
      <c r="K52" s="110">
        <f>F52-45.15</f>
        <v>-44.92</v>
      </c>
      <c r="L52" s="110">
        <f>F52/45.15*100</f>
        <v>0.5094130675526024</v>
      </c>
      <c r="M52" s="111">
        <f>E52-травень!E52</f>
        <v>1</v>
      </c>
      <c r="N52" s="179">
        <f>F52-травень!F52</f>
        <v>0</v>
      </c>
      <c r="O52" s="112">
        <f t="shared" si="11"/>
        <v>-1</v>
      </c>
      <c r="P52" s="132">
        <f t="shared" si="8"/>
        <v>0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9"/>
        <v>0.02</v>
      </c>
      <c r="H53" s="32"/>
      <c r="I53" s="110">
        <f t="shared" si="10"/>
        <v>-0.98</v>
      </c>
      <c r="J53" s="110">
        <f t="shared" si="12"/>
        <v>2</v>
      </c>
      <c r="K53" s="110">
        <f>F53-0.75</f>
        <v>-0.73</v>
      </c>
      <c r="L53" s="110">
        <f>F53/0.75*100</f>
        <v>2.666666666666667</v>
      </c>
      <c r="M53" s="111">
        <f>E53-травень!E53</f>
        <v>0</v>
      </c>
      <c r="N53" s="179">
        <f>F53-травень!F53</f>
        <v>0</v>
      </c>
      <c r="O53" s="112">
        <f t="shared" si="11"/>
        <v>0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2662.17</v>
      </c>
      <c r="F54" s="171">
        <v>2279.29</v>
      </c>
      <c r="G54" s="36">
        <f t="shared" si="9"/>
        <v>-382.8800000000001</v>
      </c>
      <c r="H54" s="32">
        <f t="shared" si="7"/>
        <v>85.61774792744265</v>
      </c>
      <c r="I54" s="110">
        <f t="shared" si="10"/>
        <v>-3874.71</v>
      </c>
      <c r="J54" s="110">
        <f t="shared" si="12"/>
        <v>37.03753656158596</v>
      </c>
      <c r="K54" s="110">
        <f>F54-3404.6</f>
        <v>-1125.31</v>
      </c>
      <c r="L54" s="110">
        <f>F54/3404.6*100</f>
        <v>66.9473653292604</v>
      </c>
      <c r="M54" s="111">
        <f>E54-травень!E54</f>
        <v>480</v>
      </c>
      <c r="N54" s="179">
        <f>F54-травень!F54</f>
        <v>73.61999999999989</v>
      </c>
      <c r="O54" s="112">
        <f t="shared" si="11"/>
        <v>-406.3800000000001</v>
      </c>
      <c r="P54" s="132">
        <f t="shared" si="8"/>
        <v>15.337499999999975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9"/>
        <v>2.29</v>
      </c>
      <c r="H55" s="204">
        <f t="shared" si="7"/>
        <v>1447.0588235294117</v>
      </c>
      <c r="I55" s="205">
        <f t="shared" si="10"/>
        <v>-7.54</v>
      </c>
      <c r="J55" s="205">
        <f t="shared" si="12"/>
        <v>24.6</v>
      </c>
      <c r="K55" s="205">
        <f>F55-0</f>
        <v>2.46</v>
      </c>
      <c r="L55" s="205"/>
      <c r="M55" s="204">
        <f>E55-травень!E55</f>
        <v>0</v>
      </c>
      <c r="N55" s="208">
        <f>F55-травень!F55</f>
        <v>0</v>
      </c>
      <c r="O55" s="207">
        <f t="shared" si="11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2267.98</v>
      </c>
      <c r="F56" s="170">
        <v>2365.45</v>
      </c>
      <c r="G56" s="202">
        <f t="shared" si="9"/>
        <v>97.4699999999998</v>
      </c>
      <c r="H56" s="204">
        <f t="shared" si="7"/>
        <v>104.29765694582844</v>
      </c>
      <c r="I56" s="205">
        <f t="shared" si="10"/>
        <v>-2434.55</v>
      </c>
      <c r="J56" s="205">
        <f t="shared" si="12"/>
        <v>49.280208333333334</v>
      </c>
      <c r="K56" s="205">
        <f>F56-2236.15</f>
        <v>129.29999999999973</v>
      </c>
      <c r="L56" s="205">
        <f>F56/2236.15*100</f>
        <v>105.78225968740915</v>
      </c>
      <c r="M56" s="204">
        <f>E56-травень!E56</f>
        <v>400</v>
      </c>
      <c r="N56" s="208">
        <f>F56-травень!F56</f>
        <v>45.33999999999969</v>
      </c>
      <c r="O56" s="207">
        <f t="shared" si="11"/>
        <v>-354.6600000000003</v>
      </c>
      <c r="P56" s="205">
        <f t="shared" si="8"/>
        <v>11.334999999999923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9"/>
        <v>0</v>
      </c>
      <c r="H57" s="204" t="e">
        <f t="shared" si="7"/>
        <v>#DIV/0!</v>
      </c>
      <c r="I57" s="205">
        <f t="shared" si="10"/>
        <v>0</v>
      </c>
      <c r="J57" s="205" t="e">
        <f t="shared" si="12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1"/>
        <v>0</v>
      </c>
      <c r="P57" s="205" t="e">
        <f t="shared" si="8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v>506.3</v>
      </c>
      <c r="G58" s="202"/>
      <c r="H58" s="204"/>
      <c r="I58" s="205"/>
      <c r="J58" s="205"/>
      <c r="K58" s="206">
        <f>F58-577.4</f>
        <v>-71.09999999999997</v>
      </c>
      <c r="L58" s="206">
        <f>F58/577.4*100</f>
        <v>87.68617942500867</v>
      </c>
      <c r="M58" s="236"/>
      <c r="N58" s="220">
        <f>F58-травень!F58</f>
        <v>27.930000000000007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9"/>
        <v>0</v>
      </c>
      <c r="H59" s="204"/>
      <c r="I59" s="205">
        <f t="shared" si="10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1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9"/>
        <v>21.049999999999997</v>
      </c>
      <c r="H60" s="204">
        <f t="shared" si="7"/>
        <v>205.24999999999997</v>
      </c>
      <c r="I60" s="205">
        <f t="shared" si="10"/>
        <v>21.049999999999997</v>
      </c>
      <c r="J60" s="205">
        <f t="shared" si="12"/>
        <v>205.24999999999997</v>
      </c>
      <c r="K60" s="205">
        <f>F60-0.6</f>
        <v>40.449999999999996</v>
      </c>
      <c r="L60" s="205">
        <f>F60/0.6*100</f>
        <v>6841.666666666667</v>
      </c>
      <c r="M60" s="204">
        <f>E60-травень!E60</f>
        <v>0</v>
      </c>
      <c r="N60" s="208">
        <f>F60-травень!F60</f>
        <v>0</v>
      </c>
      <c r="O60" s="207">
        <f t="shared" si="11"/>
        <v>0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12.2</v>
      </c>
      <c r="F61" s="170">
        <v>13.52</v>
      </c>
      <c r="G61" s="202">
        <f t="shared" si="9"/>
        <v>1.3200000000000003</v>
      </c>
      <c r="H61" s="204">
        <f t="shared" si="7"/>
        <v>110.81967213114754</v>
      </c>
      <c r="I61" s="205">
        <f t="shared" si="10"/>
        <v>-16.48</v>
      </c>
      <c r="J61" s="205">
        <f t="shared" si="12"/>
        <v>45.06666666666666</v>
      </c>
      <c r="K61" s="205">
        <f>F61-6.52</f>
        <v>7</v>
      </c>
      <c r="L61" s="205">
        <f>F61/6.52*100</f>
        <v>207.36196319018404</v>
      </c>
      <c r="M61" s="204">
        <f>E61-травень!E61</f>
        <v>2.299999999999999</v>
      </c>
      <c r="N61" s="208">
        <f>F61-травень!F61</f>
        <v>0</v>
      </c>
      <c r="O61" s="207">
        <f t="shared" si="11"/>
        <v>-2.299999999999999</v>
      </c>
      <c r="P61" s="205">
        <f t="shared" si="8"/>
        <v>0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9"/>
        <v>0.4</v>
      </c>
      <c r="H62" s="204"/>
      <c r="I62" s="205">
        <f t="shared" si="10"/>
        <v>-0.19999999999999996</v>
      </c>
      <c r="J62" s="205"/>
      <c r="K62" s="205">
        <f>F62-0.02</f>
        <v>0.38</v>
      </c>
      <c r="L62" s="205"/>
      <c r="M62" s="204">
        <f>E62-травень!E62</f>
        <v>0</v>
      </c>
      <c r="N62" s="208">
        <f>F62-травень!F62</f>
        <v>0</v>
      </c>
      <c r="O62" s="207">
        <f t="shared" si="11"/>
        <v>0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441746.00999999995</v>
      </c>
      <c r="F63" s="191">
        <f>F8+F37+F61+F62</f>
        <v>406996.23</v>
      </c>
      <c r="G63" s="191">
        <f>F63-E63</f>
        <v>-34749.77999999997</v>
      </c>
      <c r="H63" s="192">
        <f>F63/E63*100</f>
        <v>92.13353845572935</v>
      </c>
      <c r="I63" s="193">
        <f>F63-D63</f>
        <v>-476904.37</v>
      </c>
      <c r="J63" s="193">
        <f>F63/D63*100</f>
        <v>46.04547502287022</v>
      </c>
      <c r="K63" s="193">
        <f>F63-320998.67</f>
        <v>85997.56</v>
      </c>
      <c r="L63" s="193">
        <f>F63/320998.67*100</f>
        <v>126.79062813562436</v>
      </c>
      <c r="M63" s="191">
        <f>M8+M37+M61+M62</f>
        <v>71492.59999999999</v>
      </c>
      <c r="N63" s="191">
        <f>N8+N37+N61+N62</f>
        <v>9146.940000000008</v>
      </c>
      <c r="O63" s="195">
        <f>N63-M63</f>
        <v>-62345.65999999998</v>
      </c>
      <c r="P63" s="193">
        <f>N63/M63*100</f>
        <v>12.794247236776965</v>
      </c>
      <c r="Q63" s="28">
        <f>N63-34768</f>
        <v>-25621.05999999999</v>
      </c>
      <c r="R63" s="128">
        <f>N63/34768</f>
        <v>0.2630850207086979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F68-травень!F68</f>
        <v>0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F69-(-31.04)</f>
        <v>30.77</v>
      </c>
      <c r="L69" s="207">
        <f>F69/(-31.04)*100</f>
        <v>0.8698453608247423</v>
      </c>
      <c r="M69" s="204"/>
      <c r="N69" s="223">
        <f>F69-травень!F69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F70-(-31.04)</f>
        <v>30.779999999999998</v>
      </c>
      <c r="L70" s="228">
        <f>F70/(-31.04)*100</f>
        <v>0.8376288659793815</v>
      </c>
      <c r="M70" s="226">
        <f>M69</f>
        <v>0</v>
      </c>
      <c r="N70" s="229">
        <f>SUM(N68:N69)</f>
        <v>0</v>
      </c>
      <c r="O70" s="228">
        <f>N70-M70</f>
        <v>0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1413</v>
      </c>
      <c r="F72" s="222">
        <v>1041.97</v>
      </c>
      <c r="G72" s="202">
        <f aca="true" t="shared" si="13" ref="G72:G82">F72-E72</f>
        <v>-371.03</v>
      </c>
      <c r="H72" s="204"/>
      <c r="I72" s="207">
        <f aca="true" t="shared" si="14" ref="I72:I82">F72-D72</f>
        <v>-3158.0299999999997</v>
      </c>
      <c r="J72" s="207">
        <f>F72/D72*100</f>
        <v>24.808809523809526</v>
      </c>
      <c r="K72" s="207">
        <f>F72-194</f>
        <v>847.97</v>
      </c>
      <c r="L72" s="207">
        <f>F72/194*100</f>
        <v>537.09793814433</v>
      </c>
      <c r="M72" s="204">
        <f>E72-травень!E72</f>
        <v>500</v>
      </c>
      <c r="N72" s="208">
        <f>F72-травень!F72</f>
        <v>0</v>
      </c>
      <c r="O72" s="207">
        <f aca="true" t="shared" si="15" ref="O72:O85">N72-M72</f>
        <v>-500</v>
      </c>
      <c r="P72" s="207">
        <f>N72/M72*100</f>
        <v>0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2233.71</v>
      </c>
      <c r="F73" s="222">
        <v>869.23</v>
      </c>
      <c r="G73" s="202">
        <f t="shared" si="13"/>
        <v>-1364.48</v>
      </c>
      <c r="H73" s="204">
        <f>F73/E73*100</f>
        <v>38.91418313030787</v>
      </c>
      <c r="I73" s="207">
        <f t="shared" si="14"/>
        <v>-6589.77</v>
      </c>
      <c r="J73" s="207">
        <f>F73/D73*100</f>
        <v>11.65343879876659</v>
      </c>
      <c r="K73" s="207">
        <f>F73-3257.07</f>
        <v>-2387.84</v>
      </c>
      <c r="L73" s="207">
        <f>F73/3257.07*100</f>
        <v>26.68748292176711</v>
      </c>
      <c r="M73" s="204">
        <f>E73-травень!E73</f>
        <v>282.60000000000014</v>
      </c>
      <c r="N73" s="208">
        <f>F73-травень!F73</f>
        <v>0</v>
      </c>
      <c r="O73" s="207">
        <f t="shared" si="15"/>
        <v>-282.60000000000014</v>
      </c>
      <c r="P73" s="207">
        <f>N73/M73*100</f>
        <v>0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1792.85</v>
      </c>
      <c r="F74" s="222">
        <v>9113.39</v>
      </c>
      <c r="G74" s="202">
        <f t="shared" si="13"/>
        <v>7320.539999999999</v>
      </c>
      <c r="H74" s="204">
        <f>F74/E74*100</f>
        <v>508.31859887888</v>
      </c>
      <c r="I74" s="207">
        <f t="shared" si="14"/>
        <v>3113.3899999999994</v>
      </c>
      <c r="J74" s="207">
        <f>F74/D74*100</f>
        <v>151.8898333333333</v>
      </c>
      <c r="K74" s="207">
        <f>F74-1818.42</f>
        <v>7294.969999999999</v>
      </c>
      <c r="L74" s="207">
        <f>F74/1818.42*100</f>
        <v>501.170796625642</v>
      </c>
      <c r="M74" s="204">
        <f>E74-травень!E74</f>
        <v>302</v>
      </c>
      <c r="N74" s="208">
        <f>F74-травень!F74</f>
        <v>0</v>
      </c>
      <c r="O74" s="207">
        <f t="shared" si="15"/>
        <v>-302</v>
      </c>
      <c r="P74" s="207">
        <f>N74/M74*100</f>
        <v>0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6</v>
      </c>
      <c r="F75" s="222">
        <v>5</v>
      </c>
      <c r="G75" s="202">
        <f t="shared" si="13"/>
        <v>-1</v>
      </c>
      <c r="H75" s="204">
        <f>F75/E75*100</f>
        <v>83.33333333333334</v>
      </c>
      <c r="I75" s="207">
        <f t="shared" si="14"/>
        <v>-7</v>
      </c>
      <c r="J75" s="207">
        <f>F75/D75*100</f>
        <v>41.66666666666667</v>
      </c>
      <c r="K75" s="207">
        <f>F75-0</f>
        <v>5</v>
      </c>
      <c r="L75" s="207"/>
      <c r="M75" s="204">
        <f>E75-травень!E75</f>
        <v>1</v>
      </c>
      <c r="N75" s="208">
        <f>F75-травень!F75</f>
        <v>0</v>
      </c>
      <c r="O75" s="207">
        <f t="shared" si="15"/>
        <v>-1</v>
      </c>
      <c r="P75" s="207">
        <f>N75/M75*100</f>
        <v>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5445.5599999999995</v>
      </c>
      <c r="F76" s="225">
        <f>F72+F73+F74+F75</f>
        <v>11029.59</v>
      </c>
      <c r="G76" s="226">
        <f t="shared" si="13"/>
        <v>5584.030000000001</v>
      </c>
      <c r="H76" s="227">
        <f>F76/E76*100</f>
        <v>202.54280551495168</v>
      </c>
      <c r="I76" s="228">
        <f t="shared" si="14"/>
        <v>-6641.41</v>
      </c>
      <c r="J76" s="228">
        <f>F76/D76*100</f>
        <v>62.416331843132824</v>
      </c>
      <c r="K76" s="228">
        <f>F76-5269.49</f>
        <v>5760.1</v>
      </c>
      <c r="L76" s="228">
        <f>F76/5269.49*100</f>
        <v>209.31038867138943</v>
      </c>
      <c r="M76" s="226">
        <f>M72+M73+M74+M75</f>
        <v>1085.6000000000001</v>
      </c>
      <c r="N76" s="230">
        <f>N72+N73+N74+N75</f>
        <v>0</v>
      </c>
      <c r="O76" s="228">
        <f t="shared" si="15"/>
        <v>-1085.6000000000001</v>
      </c>
      <c r="P76" s="228">
        <f>N76/M76*100</f>
        <v>0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3"/>
        <v>4.4</v>
      </c>
      <c r="H77" s="204"/>
      <c r="I77" s="207">
        <f t="shared" si="14"/>
        <v>3.4000000000000004</v>
      </c>
      <c r="J77" s="207"/>
      <c r="K77" s="207">
        <f>F77-0</f>
        <v>4.4</v>
      </c>
      <c r="L77" s="207"/>
      <c r="M77" s="204">
        <f>E77-травень!E77</f>
        <v>0</v>
      </c>
      <c r="N77" s="208">
        <f>F77-травень!F77</f>
        <v>0</v>
      </c>
      <c r="O77" s="207">
        <f t="shared" si="15"/>
        <v>0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3"/>
        <v>0</v>
      </c>
      <c r="H78" s="204"/>
      <c r="I78" s="207">
        <f t="shared" si="14"/>
        <v>0</v>
      </c>
      <c r="J78" s="231"/>
      <c r="K78" s="207">
        <f>F78-0</f>
        <v>0</v>
      </c>
      <c r="L78" s="207">
        <f>F78/19.48*100</f>
        <v>0</v>
      </c>
      <c r="M78" s="204">
        <f>E78-травень!E78</f>
        <v>0</v>
      </c>
      <c r="N78" s="208">
        <f>F78-травень!F78</f>
        <v>0</v>
      </c>
      <c r="O78" s="207">
        <f t="shared" si="15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5117.3</v>
      </c>
      <c r="F79" s="222">
        <v>4888.53</v>
      </c>
      <c r="G79" s="202">
        <f t="shared" si="13"/>
        <v>-228.77000000000044</v>
      </c>
      <c r="H79" s="204">
        <f>F79/E79*100</f>
        <v>95.52947843589392</v>
      </c>
      <c r="I79" s="207">
        <f t="shared" si="14"/>
        <v>-4611.47</v>
      </c>
      <c r="J79" s="207">
        <f>F79/D79*100</f>
        <v>51.45821052631578</v>
      </c>
      <c r="K79" s="207">
        <f>F79-0</f>
        <v>4888.53</v>
      </c>
      <c r="L79" s="207"/>
      <c r="M79" s="204">
        <f>E79-травень!E79</f>
        <v>0.3000000000001819</v>
      </c>
      <c r="N79" s="208">
        <f>F79-травень!F79</f>
        <v>0.7599999999993088</v>
      </c>
      <c r="O79" s="207">
        <f>N79-M79</f>
        <v>0.4599999999991269</v>
      </c>
      <c r="P79" s="231">
        <f>N79/M79*100</f>
        <v>253.3333333329493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3"/>
        <v>0.69</v>
      </c>
      <c r="H80" s="204"/>
      <c r="I80" s="207">
        <f t="shared" si="14"/>
        <v>0.69</v>
      </c>
      <c r="J80" s="207"/>
      <c r="K80" s="207">
        <f>F80-1.06</f>
        <v>-0.3700000000000001</v>
      </c>
      <c r="L80" s="207">
        <f>F80/1.06*100</f>
        <v>65.09433962264151</v>
      </c>
      <c r="M80" s="204">
        <f>E80-травень!E80</f>
        <v>0</v>
      </c>
      <c r="N80" s="208">
        <f>F80-травень!F80</f>
        <v>0</v>
      </c>
      <c r="O80" s="207">
        <f t="shared" si="15"/>
        <v>0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5117.3</v>
      </c>
      <c r="F81" s="225">
        <f>F77+F80+F78+F79</f>
        <v>4893.62</v>
      </c>
      <c r="G81" s="224">
        <f>G77+G80+G78+G79</f>
        <v>-223.68000000000043</v>
      </c>
      <c r="H81" s="227">
        <f>F81/E81*100</f>
        <v>95.62894495143924</v>
      </c>
      <c r="I81" s="228">
        <f t="shared" si="14"/>
        <v>-4607.38</v>
      </c>
      <c r="J81" s="228">
        <f>F81/D81*100</f>
        <v>51.50636775076307</v>
      </c>
      <c r="K81" s="228">
        <f>F81-1.06</f>
        <v>4892.5599999999995</v>
      </c>
      <c r="L81" s="228">
        <f>F81/1.06*100</f>
        <v>461662.2641509433</v>
      </c>
      <c r="M81" s="226">
        <f>M77+M80+M78+M79</f>
        <v>0.3000000000001819</v>
      </c>
      <c r="N81" s="230">
        <f>N77+N80+N78+N79</f>
        <v>0.7599999999993088</v>
      </c>
      <c r="O81" s="226">
        <f>O77+O80+O78+O79</f>
        <v>0.4599999999991269</v>
      </c>
      <c r="P81" s="228">
        <f>N81/M81*100</f>
        <v>253.3333333329493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19.7</v>
      </c>
      <c r="F82" s="222">
        <v>9.5</v>
      </c>
      <c r="G82" s="202">
        <f t="shared" si="13"/>
        <v>-10.2</v>
      </c>
      <c r="H82" s="204">
        <f>F82/E82*100</f>
        <v>48.223350253807105</v>
      </c>
      <c r="I82" s="207">
        <f t="shared" si="14"/>
        <v>-33.5</v>
      </c>
      <c r="J82" s="207">
        <f>F82/D82*100</f>
        <v>22.093023255813954</v>
      </c>
      <c r="K82" s="207">
        <f>F82-19.94</f>
        <v>-10.440000000000001</v>
      </c>
      <c r="L82" s="207">
        <f>F82/19.94*100</f>
        <v>47.64292878635907</v>
      </c>
      <c r="M82" s="204">
        <f>E82-травень!E82</f>
        <v>5.899999999999999</v>
      </c>
      <c r="N82" s="208">
        <f>F82-травень!F82</f>
        <v>0.3100000000000005</v>
      </c>
      <c r="O82" s="207">
        <f t="shared" si="15"/>
        <v>-5.589999999999998</v>
      </c>
      <c r="P82" s="207">
        <f>N82/M82</f>
        <v>0.05254237288135603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5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10582.56</v>
      </c>
      <c r="F84" s="232">
        <f>F70+F82+F76+F81+F83</f>
        <v>15932.45</v>
      </c>
      <c r="G84" s="233">
        <f>F84-E84</f>
        <v>5349.890000000001</v>
      </c>
      <c r="H84" s="234">
        <f>F84/E84*100</f>
        <v>150.55383574484816</v>
      </c>
      <c r="I84" s="235">
        <f>F84-D84</f>
        <v>-11282.55</v>
      </c>
      <c r="J84" s="235">
        <f>F84/D84*100</f>
        <v>58.54289913650561</v>
      </c>
      <c r="K84" s="235">
        <f>F84-5259.67</f>
        <v>10672.78</v>
      </c>
      <c r="L84" s="235">
        <f>F84/5259.67*100</f>
        <v>302.91729329026344</v>
      </c>
      <c r="M84" s="232">
        <f>M70+M82+M76+M81</f>
        <v>1091.8000000000004</v>
      </c>
      <c r="N84" s="232">
        <f>N70+N82+N76+N81+N83</f>
        <v>1.0699999999993093</v>
      </c>
      <c r="O84" s="235">
        <f t="shared" si="15"/>
        <v>-1090.7300000000012</v>
      </c>
      <c r="P84" s="235">
        <f>N84/M84*100</f>
        <v>0.0980032973071358</v>
      </c>
      <c r="Q84" s="28">
        <f>N84-8104.96</f>
        <v>-8103.89</v>
      </c>
      <c r="R84" s="101">
        <f>N84/8104.96</f>
        <v>0.00013201792482619399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452328.56999999995</v>
      </c>
      <c r="F85" s="232">
        <f>F63+F84</f>
        <v>422928.68</v>
      </c>
      <c r="G85" s="233">
        <f>F85-E85</f>
        <v>-29399.889999999956</v>
      </c>
      <c r="H85" s="234">
        <f>F85/E85*100</f>
        <v>93.50032433281852</v>
      </c>
      <c r="I85" s="235">
        <f>F85-D85</f>
        <v>-488186.92</v>
      </c>
      <c r="J85" s="235">
        <f>F85/D85*100</f>
        <v>46.418772766046374</v>
      </c>
      <c r="K85" s="235">
        <f>F85-320998.67-5259.67</f>
        <v>96670.34000000001</v>
      </c>
      <c r="L85" s="235">
        <f>F85/(265734.15+4325.48)*100</f>
        <v>156.60566520068178</v>
      </c>
      <c r="M85" s="233">
        <f>M63+M84</f>
        <v>72584.4</v>
      </c>
      <c r="N85" s="233">
        <f>N63+N84</f>
        <v>9148.010000000007</v>
      </c>
      <c r="O85" s="235">
        <f t="shared" si="15"/>
        <v>-63436.389999999985</v>
      </c>
      <c r="P85" s="235">
        <f>N85/M85*100</f>
        <v>12.60327287957193</v>
      </c>
      <c r="Q85" s="28">
        <f>N85-42872.96</f>
        <v>-33724.94999999999</v>
      </c>
      <c r="R85" s="101">
        <f>N85/42872.96</f>
        <v>0.21337481713415654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16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3896.603749999999</v>
      </c>
      <c r="D88" s="4" t="s">
        <v>24</v>
      </c>
      <c r="G88" s="260"/>
      <c r="H88" s="260"/>
      <c r="I88" s="260"/>
      <c r="J88" s="260"/>
      <c r="K88" s="90"/>
      <c r="L88" s="90"/>
      <c r="P88" s="26"/>
      <c r="Q88" s="26"/>
    </row>
    <row r="89" spans="2:15" ht="34.5" customHeight="1">
      <c r="B89" s="58" t="s">
        <v>56</v>
      </c>
      <c r="C89" s="87">
        <v>42524</v>
      </c>
      <c r="D89" s="31">
        <v>2755.2</v>
      </c>
      <c r="G89" s="4" t="s">
        <v>59</v>
      </c>
      <c r="N89" s="253"/>
      <c r="O89" s="253"/>
    </row>
    <row r="90" spans="3:15" ht="15">
      <c r="C90" s="87">
        <v>42523</v>
      </c>
      <c r="D90" s="31">
        <v>1464.9</v>
      </c>
      <c r="F90" s="124" t="s">
        <v>59</v>
      </c>
      <c r="G90" s="247"/>
      <c r="H90" s="247"/>
      <c r="I90" s="131"/>
      <c r="J90" s="250"/>
      <c r="K90" s="250"/>
      <c r="L90" s="250"/>
      <c r="M90" s="250"/>
      <c r="N90" s="253"/>
      <c r="O90" s="253"/>
    </row>
    <row r="91" spans="3:15" ht="15.75" customHeight="1">
      <c r="C91" s="87">
        <v>42522</v>
      </c>
      <c r="D91" s="31">
        <v>4926.9</v>
      </c>
      <c r="F91" s="73"/>
      <c r="G91" s="247"/>
      <c r="H91" s="247"/>
      <c r="I91" s="131"/>
      <c r="J91" s="254"/>
      <c r="K91" s="254"/>
      <c r="L91" s="254"/>
      <c r="M91" s="254"/>
      <c r="N91" s="253"/>
      <c r="O91" s="253"/>
    </row>
    <row r="92" spans="3:13" ht="15.75" customHeight="1">
      <c r="C92" s="87"/>
      <c r="F92" s="73"/>
      <c r="G92" s="249"/>
      <c r="H92" s="249"/>
      <c r="I92" s="139"/>
      <c r="J92" s="250"/>
      <c r="K92" s="250"/>
      <c r="L92" s="250"/>
      <c r="M92" s="250"/>
    </row>
    <row r="93" spans="2:13" ht="18.75" customHeight="1">
      <c r="B93" s="251" t="s">
        <v>57</v>
      </c>
      <c r="C93" s="252"/>
      <c r="D93" s="148">
        <v>0.00278</v>
      </c>
      <c r="E93" s="74"/>
      <c r="F93" s="140" t="s">
        <v>137</v>
      </c>
      <c r="G93" s="247"/>
      <c r="H93" s="247"/>
      <c r="I93" s="141"/>
      <c r="J93" s="250"/>
      <c r="K93" s="250"/>
      <c r="L93" s="250"/>
      <c r="M93" s="250"/>
    </row>
    <row r="94" spans="6:12" ht="9.75" customHeight="1">
      <c r="F94" s="73"/>
      <c r="G94" s="247"/>
      <c r="H94" s="247"/>
      <c r="I94" s="73"/>
      <c r="J94" s="74"/>
      <c r="K94" s="74"/>
      <c r="L94" s="74"/>
    </row>
    <row r="95" spans="2:12" ht="22.5" customHeight="1" hidden="1">
      <c r="B95" s="245" t="s">
        <v>60</v>
      </c>
      <c r="C95" s="246"/>
      <c r="D95" s="86">
        <v>0</v>
      </c>
      <c r="E95" s="56" t="s">
        <v>24</v>
      </c>
      <c r="F95" s="73"/>
      <c r="G95" s="247"/>
      <c r="H95" s="247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710</v>
      </c>
      <c r="F96" s="73">
        <f>F44+F47+F48</f>
        <v>140.62</v>
      </c>
      <c r="G96" s="74"/>
      <c r="H96" s="74"/>
      <c r="I96" s="74"/>
      <c r="N96" s="247"/>
      <c r="O96" s="247"/>
    </row>
    <row r="97" spans="4:15" ht="15">
      <c r="D97" s="83"/>
      <c r="I97" s="31"/>
      <c r="N97" s="248"/>
      <c r="O97" s="248"/>
    </row>
    <row r="98" spans="14:15" ht="15">
      <c r="N98" s="247"/>
      <c r="O98" s="247"/>
    </row>
    <row r="102" ht="15">
      <c r="E102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4:H94"/>
    <mergeCell ref="G90:H90"/>
    <mergeCell ref="J90:M90"/>
    <mergeCell ref="N90:O90"/>
    <mergeCell ref="G91:H91"/>
    <mergeCell ref="J91:M91"/>
    <mergeCell ref="N91:O91"/>
    <mergeCell ref="B95:C95"/>
    <mergeCell ref="G95:H95"/>
    <mergeCell ref="N96:O96"/>
    <mergeCell ref="N97:O97"/>
    <mergeCell ref="N98:O98"/>
    <mergeCell ref="G92:H92"/>
    <mergeCell ref="J92:M92"/>
    <mergeCell ref="B93:C93"/>
    <mergeCell ref="G93:H93"/>
    <mergeCell ref="J93:M93"/>
  </mergeCells>
  <printOptions/>
  <pageMargins left="0" right="0" top="0.11811023622047245" bottom="0.11811023622047245" header="0.1968503937007874" footer="0.11811023622047245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D5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63" sqref="U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7" t="s">
        <v>168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81"/>
      <c r="C2" s="281"/>
      <c r="D2" s="28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/>
      <c r="C3" s="272" t="s">
        <v>0</v>
      </c>
      <c r="D3" s="273" t="s">
        <v>121</v>
      </c>
      <c r="E3" s="34"/>
      <c r="F3" s="274" t="s">
        <v>26</v>
      </c>
      <c r="G3" s="275"/>
      <c r="H3" s="275"/>
      <c r="I3" s="275"/>
      <c r="J3" s="276"/>
      <c r="K3" s="89"/>
      <c r="L3" s="89"/>
      <c r="M3" s="277" t="s">
        <v>162</v>
      </c>
      <c r="N3" s="278" t="s">
        <v>163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158</v>
      </c>
      <c r="F4" s="261" t="s">
        <v>34</v>
      </c>
      <c r="G4" s="255" t="s">
        <v>159</v>
      </c>
      <c r="H4" s="263" t="s">
        <v>160</v>
      </c>
      <c r="I4" s="255" t="s">
        <v>122</v>
      </c>
      <c r="J4" s="263" t="s">
        <v>123</v>
      </c>
      <c r="K4" s="91" t="s">
        <v>65</v>
      </c>
      <c r="L4" s="96" t="s">
        <v>64</v>
      </c>
      <c r="M4" s="263"/>
      <c r="N4" s="265" t="s">
        <v>169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78.75" customHeight="1">
      <c r="A5" s="270"/>
      <c r="B5" s="271"/>
      <c r="C5" s="272"/>
      <c r="D5" s="273"/>
      <c r="E5" s="280"/>
      <c r="F5" s="262"/>
      <c r="G5" s="256"/>
      <c r="H5" s="264"/>
      <c r="I5" s="256"/>
      <c r="J5" s="264"/>
      <c r="K5" s="258" t="s">
        <v>161</v>
      </c>
      <c r="L5" s="259"/>
      <c r="M5" s="264"/>
      <c r="N5" s="266"/>
      <c r="O5" s="256"/>
      <c r="P5" s="257"/>
      <c r="Q5" s="258" t="s">
        <v>120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33088.35</v>
      </c>
      <c r="J28" s="243">
        <f t="shared" si="3"/>
        <v>429.4667927909987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v>478.37</v>
      </c>
      <c r="G58" s="202"/>
      <c r="H58" s="204"/>
      <c r="I58" s="205"/>
      <c r="J58" s="205"/>
      <c r="K58" s="206">
        <f>F58-430.9</f>
        <v>47.47000000000003</v>
      </c>
      <c r="L58" s="206">
        <f>F58/430.9*100</f>
        <v>111.01647714086795</v>
      </c>
      <c r="M58" s="236"/>
      <c r="N58" s="220">
        <f>F58-квітень!F54</f>
        <v>91.00999999999999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260"/>
      <c r="H88" s="260"/>
      <c r="I88" s="260"/>
      <c r="J88" s="260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253"/>
      <c r="O89" s="253"/>
    </row>
    <row r="90" spans="3:15" ht="15">
      <c r="C90" s="87">
        <v>42520</v>
      </c>
      <c r="D90" s="31">
        <v>8891</v>
      </c>
      <c r="F90" s="124" t="s">
        <v>59</v>
      </c>
      <c r="G90" s="247"/>
      <c r="H90" s="247"/>
      <c r="I90" s="131"/>
      <c r="J90" s="250"/>
      <c r="K90" s="250"/>
      <c r="L90" s="250"/>
      <c r="M90" s="250"/>
      <c r="N90" s="253"/>
      <c r="O90" s="253"/>
    </row>
    <row r="91" spans="3:15" ht="15.75" customHeight="1">
      <c r="C91" s="87">
        <v>42517</v>
      </c>
      <c r="D91" s="31">
        <v>7356.3</v>
      </c>
      <c r="F91" s="73"/>
      <c r="G91" s="247"/>
      <c r="H91" s="247"/>
      <c r="I91" s="131"/>
      <c r="J91" s="254"/>
      <c r="K91" s="254"/>
      <c r="L91" s="254"/>
      <c r="M91" s="254"/>
      <c r="N91" s="253"/>
      <c r="O91" s="253"/>
    </row>
    <row r="92" spans="3:13" ht="15.75" customHeight="1">
      <c r="C92" s="87"/>
      <c r="F92" s="73"/>
      <c r="G92" s="249"/>
      <c r="H92" s="249"/>
      <c r="I92" s="139"/>
      <c r="J92" s="250"/>
      <c r="K92" s="250"/>
      <c r="L92" s="250"/>
      <c r="M92" s="250"/>
    </row>
    <row r="93" spans="2:13" ht="18.75" customHeight="1">
      <c r="B93" s="251" t="s">
        <v>57</v>
      </c>
      <c r="C93" s="252"/>
      <c r="D93" s="148">
        <v>2811.04042</v>
      </c>
      <c r="E93" s="74"/>
      <c r="F93" s="140" t="s">
        <v>137</v>
      </c>
      <c r="G93" s="247"/>
      <c r="H93" s="247"/>
      <c r="I93" s="141"/>
      <c r="J93" s="250"/>
      <c r="K93" s="250"/>
      <c r="L93" s="250"/>
      <c r="M93" s="250"/>
    </row>
    <row r="94" spans="6:12" ht="9.75" customHeight="1">
      <c r="F94" s="73"/>
      <c r="G94" s="247"/>
      <c r="H94" s="247"/>
      <c r="I94" s="73"/>
      <c r="J94" s="74"/>
      <c r="K94" s="74"/>
      <c r="L94" s="74"/>
    </row>
    <row r="95" spans="2:12" ht="22.5" customHeight="1" hidden="1">
      <c r="B95" s="245" t="s">
        <v>60</v>
      </c>
      <c r="C95" s="246"/>
      <c r="D95" s="86">
        <v>0</v>
      </c>
      <c r="E95" s="56" t="s">
        <v>24</v>
      </c>
      <c r="F95" s="73"/>
      <c r="G95" s="247"/>
      <c r="H95" s="247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568</v>
      </c>
      <c r="F96" s="73">
        <f>F44+F47+F48</f>
        <v>117.97999999999999</v>
      </c>
      <c r="G96" s="74"/>
      <c r="H96" s="74"/>
      <c r="I96" s="74"/>
      <c r="N96" s="247"/>
      <c r="O96" s="247"/>
    </row>
    <row r="97" spans="4:15" ht="15">
      <c r="D97" s="83"/>
      <c r="I97" s="31"/>
      <c r="N97" s="248"/>
      <c r="O97" s="248"/>
    </row>
    <row r="98" spans="14:15" ht="15">
      <c r="N98" s="247"/>
      <c r="O98" s="247"/>
    </row>
    <row r="102" ht="15">
      <c r="E102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4:H94"/>
    <mergeCell ref="G90:H90"/>
    <mergeCell ref="J90:M90"/>
    <mergeCell ref="N90:O90"/>
    <mergeCell ref="G91:H91"/>
    <mergeCell ref="J91:M91"/>
    <mergeCell ref="N91:O91"/>
    <mergeCell ref="B95:C95"/>
    <mergeCell ref="G95:H95"/>
    <mergeCell ref="N96:O96"/>
    <mergeCell ref="N97:O97"/>
    <mergeCell ref="N98:O98"/>
    <mergeCell ref="G92:H92"/>
    <mergeCell ref="J92:M92"/>
    <mergeCell ref="B93:C93"/>
    <mergeCell ref="G93:H93"/>
    <mergeCell ref="J93:M93"/>
  </mergeCells>
  <printOptions/>
  <pageMargins left="0" right="0" top="0" bottom="0" header="0" footer="0"/>
  <pageSetup fitToHeight="2" fitToWidth="1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7" t="s">
        <v>156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81"/>
      <c r="C2" s="281"/>
      <c r="D2" s="28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/>
      <c r="C3" s="272" t="s">
        <v>0</v>
      </c>
      <c r="D3" s="273" t="s">
        <v>121</v>
      </c>
      <c r="E3" s="34"/>
      <c r="F3" s="274" t="s">
        <v>26</v>
      </c>
      <c r="G3" s="275"/>
      <c r="H3" s="275"/>
      <c r="I3" s="275"/>
      <c r="J3" s="276"/>
      <c r="K3" s="89"/>
      <c r="L3" s="89"/>
      <c r="M3" s="277" t="s">
        <v>153</v>
      </c>
      <c r="N3" s="278" t="s">
        <v>154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150</v>
      </c>
      <c r="F4" s="261" t="s">
        <v>34</v>
      </c>
      <c r="G4" s="255" t="s">
        <v>151</v>
      </c>
      <c r="H4" s="263" t="s">
        <v>152</v>
      </c>
      <c r="I4" s="255" t="s">
        <v>122</v>
      </c>
      <c r="J4" s="263" t="s">
        <v>123</v>
      </c>
      <c r="K4" s="91" t="s">
        <v>65</v>
      </c>
      <c r="L4" s="96" t="s">
        <v>64</v>
      </c>
      <c r="M4" s="263"/>
      <c r="N4" s="265" t="s">
        <v>157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78.75" customHeight="1">
      <c r="A5" s="270"/>
      <c r="B5" s="271"/>
      <c r="C5" s="272"/>
      <c r="D5" s="273"/>
      <c r="E5" s="280"/>
      <c r="F5" s="262"/>
      <c r="G5" s="256"/>
      <c r="H5" s="264"/>
      <c r="I5" s="256"/>
      <c r="J5" s="264"/>
      <c r="K5" s="258" t="s">
        <v>155</v>
      </c>
      <c r="L5" s="259"/>
      <c r="M5" s="264"/>
      <c r="N5" s="266"/>
      <c r="O5" s="256"/>
      <c r="P5" s="257"/>
      <c r="Q5" s="258" t="s">
        <v>120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0"/>
      <c r="H84" s="260"/>
      <c r="I84" s="260"/>
      <c r="J84" s="260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3"/>
      <c r="O85" s="253"/>
    </row>
    <row r="86" spans="3:15" ht="15">
      <c r="C86" s="87">
        <v>42488</v>
      </c>
      <c r="D86" s="31">
        <v>11419.7</v>
      </c>
      <c r="F86" s="124" t="s">
        <v>59</v>
      </c>
      <c r="G86" s="247"/>
      <c r="H86" s="247"/>
      <c r="I86" s="131"/>
      <c r="J86" s="250"/>
      <c r="K86" s="250"/>
      <c r="L86" s="250"/>
      <c r="M86" s="250"/>
      <c r="N86" s="253"/>
      <c r="O86" s="253"/>
    </row>
    <row r="87" spans="3:15" ht="15.75" customHeight="1">
      <c r="C87" s="87">
        <v>42487</v>
      </c>
      <c r="D87" s="31">
        <v>7800.7</v>
      </c>
      <c r="F87" s="73"/>
      <c r="G87" s="247"/>
      <c r="H87" s="247"/>
      <c r="I87" s="131"/>
      <c r="J87" s="254"/>
      <c r="K87" s="254"/>
      <c r="L87" s="254"/>
      <c r="M87" s="254"/>
      <c r="N87" s="253"/>
      <c r="O87" s="253"/>
    </row>
    <row r="88" spans="3:13" ht="15.75" customHeight="1">
      <c r="C88" s="87"/>
      <c r="F88" s="73"/>
      <c r="G88" s="249"/>
      <c r="H88" s="249"/>
      <c r="I88" s="139"/>
      <c r="J88" s="250"/>
      <c r="K88" s="250"/>
      <c r="L88" s="250"/>
      <c r="M88" s="250"/>
    </row>
    <row r="89" spans="2:13" ht="18.75" customHeight="1">
      <c r="B89" s="251" t="s">
        <v>57</v>
      </c>
      <c r="C89" s="252"/>
      <c r="D89" s="148">
        <v>9087.9705</v>
      </c>
      <c r="E89" s="74"/>
      <c r="F89" s="140" t="s">
        <v>137</v>
      </c>
      <c r="G89" s="247"/>
      <c r="H89" s="247"/>
      <c r="I89" s="141"/>
      <c r="J89" s="250"/>
      <c r="K89" s="250"/>
      <c r="L89" s="250"/>
      <c r="M89" s="250"/>
    </row>
    <row r="90" spans="6:12" ht="9.75" customHeight="1">
      <c r="F90" s="73"/>
      <c r="G90" s="247"/>
      <c r="H90" s="247"/>
      <c r="I90" s="73"/>
      <c r="J90" s="74"/>
      <c r="K90" s="74"/>
      <c r="L90" s="74"/>
    </row>
    <row r="91" spans="2:12" ht="22.5" customHeight="1" hidden="1">
      <c r="B91" s="245" t="s">
        <v>60</v>
      </c>
      <c r="C91" s="246"/>
      <c r="D91" s="86">
        <v>0</v>
      </c>
      <c r="E91" s="56" t="s">
        <v>24</v>
      </c>
      <c r="F91" s="73"/>
      <c r="G91" s="247"/>
      <c r="H91" s="247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47"/>
      <c r="O92" s="247"/>
    </row>
    <row r="93" spans="4:15" ht="15">
      <c r="D93" s="83"/>
      <c r="I93" s="31"/>
      <c r="N93" s="248"/>
      <c r="O93" s="248"/>
    </row>
    <row r="94" spans="14:15" ht="15">
      <c r="N94" s="247"/>
      <c r="O94" s="247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7" t="s">
        <v>148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81"/>
      <c r="C2" s="281"/>
      <c r="D2" s="28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/>
      <c r="C3" s="272" t="s">
        <v>0</v>
      </c>
      <c r="D3" s="273" t="s">
        <v>121</v>
      </c>
      <c r="E3" s="34"/>
      <c r="F3" s="274" t="s">
        <v>26</v>
      </c>
      <c r="G3" s="275"/>
      <c r="H3" s="275"/>
      <c r="I3" s="275"/>
      <c r="J3" s="276"/>
      <c r="K3" s="89"/>
      <c r="L3" s="89"/>
      <c r="M3" s="277" t="s">
        <v>147</v>
      </c>
      <c r="N3" s="278" t="s">
        <v>143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146</v>
      </c>
      <c r="F4" s="261" t="s">
        <v>34</v>
      </c>
      <c r="G4" s="255" t="s">
        <v>141</v>
      </c>
      <c r="H4" s="263" t="s">
        <v>142</v>
      </c>
      <c r="I4" s="255" t="s">
        <v>122</v>
      </c>
      <c r="J4" s="263" t="s">
        <v>123</v>
      </c>
      <c r="K4" s="91" t="s">
        <v>65</v>
      </c>
      <c r="L4" s="96" t="s">
        <v>64</v>
      </c>
      <c r="M4" s="263"/>
      <c r="N4" s="265" t="s">
        <v>149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78.75" customHeight="1">
      <c r="A5" s="270"/>
      <c r="B5" s="271"/>
      <c r="C5" s="272"/>
      <c r="D5" s="273"/>
      <c r="E5" s="280"/>
      <c r="F5" s="262"/>
      <c r="G5" s="256"/>
      <c r="H5" s="264"/>
      <c r="I5" s="256"/>
      <c r="J5" s="264"/>
      <c r="K5" s="258" t="s">
        <v>144</v>
      </c>
      <c r="L5" s="259"/>
      <c r="M5" s="264"/>
      <c r="N5" s="266"/>
      <c r="O5" s="256"/>
      <c r="P5" s="257"/>
      <c r="Q5" s="258" t="s">
        <v>120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0"/>
      <c r="H83" s="260"/>
      <c r="I83" s="260"/>
      <c r="J83" s="260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3"/>
      <c r="O84" s="253"/>
    </row>
    <row r="85" spans="3:15" ht="15">
      <c r="C85" s="87">
        <v>42459</v>
      </c>
      <c r="D85" s="31">
        <v>7576.3</v>
      </c>
      <c r="F85" s="124" t="s">
        <v>59</v>
      </c>
      <c r="G85" s="247"/>
      <c r="H85" s="247"/>
      <c r="I85" s="131"/>
      <c r="J85" s="250"/>
      <c r="K85" s="250"/>
      <c r="L85" s="250"/>
      <c r="M85" s="250"/>
      <c r="N85" s="253"/>
      <c r="O85" s="253"/>
    </row>
    <row r="86" spans="3:15" ht="15.75" customHeight="1">
      <c r="C86" s="87">
        <v>42458</v>
      </c>
      <c r="D86" s="31">
        <v>9190.1</v>
      </c>
      <c r="F86" s="73"/>
      <c r="G86" s="247"/>
      <c r="H86" s="247"/>
      <c r="I86" s="131"/>
      <c r="J86" s="254"/>
      <c r="K86" s="254"/>
      <c r="L86" s="254"/>
      <c r="M86" s="254"/>
      <c r="N86" s="253"/>
      <c r="O86" s="253"/>
    </row>
    <row r="87" spans="3:13" ht="15.75" customHeight="1">
      <c r="C87" s="87"/>
      <c r="F87" s="73"/>
      <c r="G87" s="249"/>
      <c r="H87" s="249"/>
      <c r="I87" s="139"/>
      <c r="J87" s="250"/>
      <c r="K87" s="250"/>
      <c r="L87" s="250"/>
      <c r="M87" s="250"/>
    </row>
    <row r="88" spans="2:13" ht="18.75" customHeight="1">
      <c r="B88" s="251" t="s">
        <v>57</v>
      </c>
      <c r="C88" s="252"/>
      <c r="D88" s="148">
        <f>4343.7</f>
        <v>4343.7</v>
      </c>
      <c r="E88" s="74"/>
      <c r="F88" s="140" t="s">
        <v>137</v>
      </c>
      <c r="G88" s="247"/>
      <c r="H88" s="247"/>
      <c r="I88" s="141"/>
      <c r="J88" s="250"/>
      <c r="K88" s="250"/>
      <c r="L88" s="250"/>
      <c r="M88" s="250"/>
    </row>
    <row r="89" spans="6:12" ht="9.75" customHeight="1">
      <c r="F89" s="73"/>
      <c r="G89" s="247"/>
      <c r="H89" s="247"/>
      <c r="I89" s="73"/>
      <c r="J89" s="74"/>
      <c r="K89" s="74"/>
      <c r="L89" s="74"/>
    </row>
    <row r="90" spans="2:12" ht="22.5" customHeight="1" hidden="1">
      <c r="B90" s="245" t="s">
        <v>60</v>
      </c>
      <c r="C90" s="246"/>
      <c r="D90" s="86">
        <v>0</v>
      </c>
      <c r="E90" s="56" t="s">
        <v>24</v>
      </c>
      <c r="F90" s="73"/>
      <c r="G90" s="247"/>
      <c r="H90" s="24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7"/>
      <c r="O91" s="247"/>
    </row>
    <row r="92" spans="4:15" ht="15">
      <c r="D92" s="83"/>
      <c r="I92" s="31"/>
      <c r="N92" s="248"/>
      <c r="O92" s="248"/>
    </row>
    <row r="93" spans="14:15" ht="15">
      <c r="N93" s="247"/>
      <c r="O93" s="24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N3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35" sqref="U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7" t="s">
        <v>139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81"/>
      <c r="C2" s="281"/>
      <c r="D2" s="28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/>
      <c r="C3" s="272" t="s">
        <v>0</v>
      </c>
      <c r="D3" s="273" t="s">
        <v>121</v>
      </c>
      <c r="E3" s="34"/>
      <c r="F3" s="274" t="s">
        <v>26</v>
      </c>
      <c r="G3" s="275"/>
      <c r="H3" s="275"/>
      <c r="I3" s="275"/>
      <c r="J3" s="276"/>
      <c r="K3" s="89"/>
      <c r="L3" s="89"/>
      <c r="M3" s="282" t="s">
        <v>128</v>
      </c>
      <c r="N3" s="278" t="s">
        <v>119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127</v>
      </c>
      <c r="F4" s="261" t="s">
        <v>34</v>
      </c>
      <c r="G4" s="255" t="s">
        <v>116</v>
      </c>
      <c r="H4" s="263" t="s">
        <v>117</v>
      </c>
      <c r="I4" s="255" t="s">
        <v>122</v>
      </c>
      <c r="J4" s="263" t="s">
        <v>123</v>
      </c>
      <c r="K4" s="91" t="s">
        <v>65</v>
      </c>
      <c r="L4" s="96" t="s">
        <v>64</v>
      </c>
      <c r="M4" s="263"/>
      <c r="N4" s="265" t="s">
        <v>140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92.25" customHeight="1">
      <c r="A5" s="270"/>
      <c r="B5" s="271"/>
      <c r="C5" s="272"/>
      <c r="D5" s="273"/>
      <c r="E5" s="280"/>
      <c r="F5" s="262"/>
      <c r="G5" s="256"/>
      <c r="H5" s="264"/>
      <c r="I5" s="256"/>
      <c r="J5" s="264"/>
      <c r="K5" s="258" t="s">
        <v>118</v>
      </c>
      <c r="L5" s="259"/>
      <c r="M5" s="264"/>
      <c r="N5" s="266"/>
      <c r="O5" s="256"/>
      <c r="P5" s="257"/>
      <c r="Q5" s="258" t="s">
        <v>120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0"/>
      <c r="H83" s="260"/>
      <c r="I83" s="260"/>
      <c r="J83" s="260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3"/>
      <c r="O84" s="253"/>
    </row>
    <row r="85" spans="3:15" ht="15">
      <c r="C85" s="87">
        <v>42426</v>
      </c>
      <c r="D85" s="31">
        <v>6256.2</v>
      </c>
      <c r="F85" s="124" t="s">
        <v>59</v>
      </c>
      <c r="G85" s="247"/>
      <c r="H85" s="247"/>
      <c r="I85" s="131"/>
      <c r="J85" s="250"/>
      <c r="K85" s="250"/>
      <c r="L85" s="250"/>
      <c r="M85" s="250"/>
      <c r="N85" s="253"/>
      <c r="O85" s="253"/>
    </row>
    <row r="86" spans="3:15" ht="15.75" customHeight="1">
      <c r="C86" s="87">
        <v>42425</v>
      </c>
      <c r="D86" s="31">
        <v>3536.9</v>
      </c>
      <c r="F86" s="73"/>
      <c r="G86" s="247"/>
      <c r="H86" s="247"/>
      <c r="I86" s="131"/>
      <c r="J86" s="254"/>
      <c r="K86" s="254"/>
      <c r="L86" s="254"/>
      <c r="M86" s="254"/>
      <c r="N86" s="253"/>
      <c r="O86" s="253"/>
    </row>
    <row r="87" spans="3:13" ht="15.75" customHeight="1">
      <c r="C87" s="87"/>
      <c r="F87" s="73"/>
      <c r="G87" s="249"/>
      <c r="H87" s="249"/>
      <c r="I87" s="139"/>
      <c r="J87" s="250"/>
      <c r="K87" s="250"/>
      <c r="L87" s="250"/>
      <c r="M87" s="250"/>
    </row>
    <row r="88" spans="2:13" ht="18.75" customHeight="1">
      <c r="B88" s="251" t="s">
        <v>57</v>
      </c>
      <c r="C88" s="252"/>
      <c r="D88" s="148">
        <v>505.3</v>
      </c>
      <c r="E88" s="74"/>
      <c r="F88" s="140" t="s">
        <v>137</v>
      </c>
      <c r="G88" s="247"/>
      <c r="H88" s="247"/>
      <c r="I88" s="141"/>
      <c r="J88" s="250"/>
      <c r="K88" s="250"/>
      <c r="L88" s="250"/>
      <c r="M88" s="250"/>
    </row>
    <row r="89" spans="6:12" ht="9.75" customHeight="1">
      <c r="F89" s="73"/>
      <c r="G89" s="247"/>
      <c r="H89" s="247"/>
      <c r="I89" s="73"/>
      <c r="J89" s="74"/>
      <c r="K89" s="74"/>
      <c r="L89" s="74"/>
    </row>
    <row r="90" spans="2:12" ht="22.5" customHeight="1" hidden="1">
      <c r="B90" s="245" t="s">
        <v>60</v>
      </c>
      <c r="C90" s="246"/>
      <c r="D90" s="86">
        <v>0</v>
      </c>
      <c r="E90" s="56" t="s">
        <v>24</v>
      </c>
      <c r="F90" s="73"/>
      <c r="G90" s="247"/>
      <c r="H90" s="24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7"/>
      <c r="O91" s="247"/>
    </row>
    <row r="92" spans="4:15" ht="15">
      <c r="D92" s="83"/>
      <c r="I92" s="31"/>
      <c r="N92" s="248"/>
      <c r="O92" s="248"/>
    </row>
    <row r="93" spans="14:15" ht="15">
      <c r="N93" s="247"/>
      <c r="O93" s="24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39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7" t="s">
        <v>114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81"/>
      <c r="C2" s="281"/>
      <c r="D2" s="281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 t="s">
        <v>135</v>
      </c>
      <c r="C3" s="272" t="s">
        <v>0</v>
      </c>
      <c r="D3" s="273" t="s">
        <v>121</v>
      </c>
      <c r="E3" s="34"/>
      <c r="F3" s="274" t="s">
        <v>26</v>
      </c>
      <c r="G3" s="275"/>
      <c r="H3" s="275"/>
      <c r="I3" s="275"/>
      <c r="J3" s="276"/>
      <c r="K3" s="89"/>
      <c r="L3" s="89"/>
      <c r="M3" s="282" t="s">
        <v>132</v>
      </c>
      <c r="N3" s="278" t="s">
        <v>66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129</v>
      </c>
      <c r="F4" s="261" t="s">
        <v>34</v>
      </c>
      <c r="G4" s="255" t="s">
        <v>130</v>
      </c>
      <c r="H4" s="263" t="s">
        <v>131</v>
      </c>
      <c r="I4" s="255" t="s">
        <v>122</v>
      </c>
      <c r="J4" s="263" t="s">
        <v>123</v>
      </c>
      <c r="K4" s="91" t="s">
        <v>65</v>
      </c>
      <c r="L4" s="96" t="s">
        <v>64</v>
      </c>
      <c r="M4" s="263"/>
      <c r="N4" s="283" t="s">
        <v>133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92.25" customHeight="1">
      <c r="A5" s="270"/>
      <c r="B5" s="271"/>
      <c r="C5" s="272"/>
      <c r="D5" s="273"/>
      <c r="E5" s="280"/>
      <c r="F5" s="262"/>
      <c r="G5" s="256"/>
      <c r="H5" s="264"/>
      <c r="I5" s="256"/>
      <c r="J5" s="264"/>
      <c r="K5" s="258" t="s">
        <v>134</v>
      </c>
      <c r="L5" s="259"/>
      <c r="M5" s="264"/>
      <c r="N5" s="284"/>
      <c r="O5" s="256"/>
      <c r="P5" s="257"/>
      <c r="Q5" s="258" t="s">
        <v>120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0"/>
      <c r="H83" s="260"/>
      <c r="I83" s="260"/>
      <c r="J83" s="260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3"/>
      <c r="O84" s="253"/>
    </row>
    <row r="85" spans="3:15" ht="15">
      <c r="C85" s="87">
        <v>42397</v>
      </c>
      <c r="D85" s="31">
        <v>8685</v>
      </c>
      <c r="F85" s="124" t="s">
        <v>59</v>
      </c>
      <c r="G85" s="247"/>
      <c r="H85" s="247"/>
      <c r="I85" s="131"/>
      <c r="J85" s="250"/>
      <c r="K85" s="250"/>
      <c r="L85" s="250"/>
      <c r="M85" s="250"/>
      <c r="N85" s="253"/>
      <c r="O85" s="253"/>
    </row>
    <row r="86" spans="3:15" ht="15.75" customHeight="1">
      <c r="C86" s="87">
        <v>42396</v>
      </c>
      <c r="D86" s="31">
        <v>4820.3</v>
      </c>
      <c r="F86" s="73"/>
      <c r="G86" s="247"/>
      <c r="H86" s="247"/>
      <c r="I86" s="131"/>
      <c r="J86" s="254"/>
      <c r="K86" s="254"/>
      <c r="L86" s="254"/>
      <c r="M86" s="254"/>
      <c r="N86" s="253"/>
      <c r="O86" s="253"/>
    </row>
    <row r="87" spans="3:13" ht="15.75" customHeight="1">
      <c r="C87" s="87"/>
      <c r="F87" s="73"/>
      <c r="G87" s="249"/>
      <c r="H87" s="249"/>
      <c r="I87" s="139"/>
      <c r="J87" s="250"/>
      <c r="K87" s="250"/>
      <c r="L87" s="250"/>
      <c r="M87" s="250"/>
    </row>
    <row r="88" spans="2:13" ht="18.75" customHeight="1">
      <c r="B88" s="251" t="s">
        <v>57</v>
      </c>
      <c r="C88" s="252"/>
      <c r="D88" s="148">
        <v>300.92</v>
      </c>
      <c r="E88" s="74"/>
      <c r="F88" s="140"/>
      <c r="G88" s="247"/>
      <c r="H88" s="247"/>
      <c r="I88" s="141"/>
      <c r="J88" s="250"/>
      <c r="K88" s="250"/>
      <c r="L88" s="250"/>
      <c r="M88" s="250"/>
    </row>
    <row r="89" spans="6:12" ht="9.75" customHeight="1">
      <c r="F89" s="73"/>
      <c r="G89" s="247"/>
      <c r="H89" s="247"/>
      <c r="I89" s="73"/>
      <c r="J89" s="74"/>
      <c r="K89" s="74"/>
      <c r="L89" s="74"/>
    </row>
    <row r="90" spans="2:12" ht="22.5" customHeight="1" hidden="1">
      <c r="B90" s="245" t="s">
        <v>60</v>
      </c>
      <c r="C90" s="246"/>
      <c r="D90" s="86">
        <v>0</v>
      </c>
      <c r="E90" s="56" t="s">
        <v>24</v>
      </c>
      <c r="F90" s="73"/>
      <c r="G90" s="247"/>
      <c r="H90" s="24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7"/>
      <c r="O91" s="247"/>
    </row>
    <row r="92" spans="4:15" ht="15">
      <c r="D92" s="83"/>
      <c r="I92" s="31"/>
      <c r="N92" s="248"/>
      <c r="O92" s="248"/>
    </row>
    <row r="93" spans="14:15" ht="15">
      <c r="N93" s="247"/>
      <c r="O93" s="24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3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7" t="s">
        <v>114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81"/>
      <c r="C2" s="281"/>
      <c r="D2" s="281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 t="s">
        <v>136</v>
      </c>
      <c r="C3" s="272" t="s">
        <v>0</v>
      </c>
      <c r="D3" s="273" t="s">
        <v>115</v>
      </c>
      <c r="E3" s="34"/>
      <c r="F3" s="274" t="s">
        <v>26</v>
      </c>
      <c r="G3" s="275"/>
      <c r="H3" s="275"/>
      <c r="I3" s="275"/>
      <c r="J3" s="276"/>
      <c r="K3" s="89"/>
      <c r="L3" s="89"/>
      <c r="M3" s="282" t="s">
        <v>107</v>
      </c>
      <c r="N3" s="278" t="s">
        <v>66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104</v>
      </c>
      <c r="F4" s="285" t="s">
        <v>34</v>
      </c>
      <c r="G4" s="255" t="s">
        <v>109</v>
      </c>
      <c r="H4" s="263" t="s">
        <v>110</v>
      </c>
      <c r="I4" s="255" t="s">
        <v>105</v>
      </c>
      <c r="J4" s="263" t="s">
        <v>106</v>
      </c>
      <c r="K4" s="91" t="s">
        <v>65</v>
      </c>
      <c r="L4" s="96" t="s">
        <v>64</v>
      </c>
      <c r="M4" s="263"/>
      <c r="N4" s="283" t="s">
        <v>103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76.5" customHeight="1">
      <c r="A5" s="270"/>
      <c r="B5" s="271"/>
      <c r="C5" s="272"/>
      <c r="D5" s="273"/>
      <c r="E5" s="280"/>
      <c r="F5" s="286"/>
      <c r="G5" s="256"/>
      <c r="H5" s="264"/>
      <c r="I5" s="256"/>
      <c r="J5" s="264"/>
      <c r="K5" s="258" t="s">
        <v>108</v>
      </c>
      <c r="L5" s="259"/>
      <c r="M5" s="264"/>
      <c r="N5" s="284"/>
      <c r="O5" s="256"/>
      <c r="P5" s="257"/>
      <c r="Q5" s="258" t="s">
        <v>126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0"/>
      <c r="H82" s="260"/>
      <c r="I82" s="260"/>
      <c r="J82" s="260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3"/>
      <c r="O83" s="253"/>
    </row>
    <row r="84" spans="3:15" ht="15">
      <c r="C84" s="87">
        <v>42397</v>
      </c>
      <c r="D84" s="31">
        <v>8685</v>
      </c>
      <c r="F84" s="166" t="s">
        <v>59</v>
      </c>
      <c r="G84" s="247"/>
      <c r="H84" s="247"/>
      <c r="I84" s="131"/>
      <c r="J84" s="250"/>
      <c r="K84" s="250"/>
      <c r="L84" s="250"/>
      <c r="M84" s="250"/>
      <c r="N84" s="253"/>
      <c r="O84" s="253"/>
    </row>
    <row r="85" spans="3:15" ht="15.75" customHeight="1">
      <c r="C85" s="87">
        <v>42396</v>
      </c>
      <c r="D85" s="31">
        <v>4820.3</v>
      </c>
      <c r="F85" s="167"/>
      <c r="G85" s="247"/>
      <c r="H85" s="247"/>
      <c r="I85" s="131"/>
      <c r="J85" s="254"/>
      <c r="K85" s="254"/>
      <c r="L85" s="254"/>
      <c r="M85" s="254"/>
      <c r="N85" s="253"/>
      <c r="O85" s="253"/>
    </row>
    <row r="86" spans="3:13" ht="15.75" customHeight="1">
      <c r="C86" s="87"/>
      <c r="F86" s="167"/>
      <c r="G86" s="249"/>
      <c r="H86" s="249"/>
      <c r="I86" s="139"/>
      <c r="J86" s="250"/>
      <c r="K86" s="250"/>
      <c r="L86" s="250"/>
      <c r="M86" s="250"/>
    </row>
    <row r="87" spans="2:13" ht="18.75" customHeight="1">
      <c r="B87" s="251" t="s">
        <v>57</v>
      </c>
      <c r="C87" s="252"/>
      <c r="D87" s="148">
        <v>300.92</v>
      </c>
      <c r="E87" s="74"/>
      <c r="F87" s="168"/>
      <c r="G87" s="247"/>
      <c r="H87" s="247"/>
      <c r="I87" s="141"/>
      <c r="J87" s="250"/>
      <c r="K87" s="250"/>
      <c r="L87" s="250"/>
      <c r="M87" s="250"/>
    </row>
    <row r="88" spans="6:12" ht="9.75" customHeight="1">
      <c r="F88" s="167"/>
      <c r="G88" s="247"/>
      <c r="H88" s="247"/>
      <c r="I88" s="73"/>
      <c r="J88" s="74"/>
      <c r="K88" s="74"/>
      <c r="L88" s="74"/>
    </row>
    <row r="89" spans="2:12" ht="22.5" customHeight="1" hidden="1">
      <c r="B89" s="245" t="s">
        <v>60</v>
      </c>
      <c r="C89" s="246"/>
      <c r="D89" s="86">
        <v>0</v>
      </c>
      <c r="E89" s="56" t="s">
        <v>24</v>
      </c>
      <c r="F89" s="167"/>
      <c r="G89" s="247"/>
      <c r="H89" s="247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47"/>
      <c r="O90" s="247"/>
    </row>
    <row r="91" spans="4:15" ht="15">
      <c r="D91" s="83"/>
      <c r="I91" s="31"/>
      <c r="N91" s="248"/>
      <c r="O91" s="248"/>
    </row>
    <row r="92" spans="14:15" ht="15">
      <c r="N92" s="247"/>
      <c r="O92" s="247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2016-06-03T08:40:31Z</cp:lastPrinted>
  <dcterms:created xsi:type="dcterms:W3CDTF">2003-07-28T11:27:56Z</dcterms:created>
  <dcterms:modified xsi:type="dcterms:W3CDTF">2016-06-06T07:03:32Z</dcterms:modified>
  <cp:category/>
  <cp:version/>
  <cp:contentType/>
  <cp:contentStatus/>
</cp:coreProperties>
</file>